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4_Landwirtschaft\4_2_Bodennutzung\4_2_2_Ernte Hauptfeldfrüchte\"/>
    </mc:Choice>
  </mc:AlternateContent>
  <bookViews>
    <workbookView xWindow="840" yWindow="210" windowWidth="15480" windowHeight="11640"/>
  </bookViews>
  <sheets>
    <sheet name="Diagramm Hektarerträge" sheetId="4" r:id="rId1"/>
    <sheet name="Daten Hektarerträge" sheetId="3" r:id="rId2"/>
  </sheets>
  <definedNames>
    <definedName name="_xlnm.Print_Area" localSheetId="1">'Daten Hektarerträge'!$A$1:$BO$33</definedName>
    <definedName name="_xlnm.Print_Titles" localSheetId="1">'Daten Hektarerträge'!$B:$B</definedName>
  </definedNames>
  <calcPr calcId="162913"/>
</workbook>
</file>

<file path=xl/calcChain.xml><?xml version="1.0" encoding="utf-8"?>
<calcChain xmlns="http://schemas.openxmlformats.org/spreadsheetml/2006/main">
  <c r="CA34" i="3" l="1"/>
  <c r="CA35" i="3"/>
  <c r="CA36" i="3"/>
  <c r="CA37" i="3"/>
  <c r="CA38" i="3"/>
  <c r="CA39" i="3"/>
  <c r="CA4" i="3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A32" i="3"/>
  <c r="CA33" i="3"/>
  <c r="CA3" i="3"/>
  <c r="BZ42" i="3"/>
  <c r="BY42" i="3"/>
  <c r="BX42" i="3"/>
  <c r="BY33" i="3"/>
  <c r="BX33" i="3"/>
  <c r="BW33" i="3"/>
  <c r="BV53" i="3"/>
  <c r="BW53" i="3"/>
  <c r="BX53" i="3"/>
  <c r="BY53" i="3"/>
  <c r="BY1" i="3" l="1"/>
  <c r="BZ1" i="3"/>
  <c r="BW1" i="3" l="1"/>
  <c r="BW42" i="3" s="1"/>
  <c r="BX1" i="3"/>
  <c r="BV29" i="3" l="1"/>
  <c r="BI26" i="3"/>
  <c r="BI25" i="3"/>
  <c r="BI24" i="3"/>
  <c r="BH26" i="3"/>
  <c r="BH25" i="3"/>
  <c r="BH24" i="3"/>
  <c r="BG26" i="3"/>
  <c r="BG25" i="3"/>
  <c r="BG24" i="3"/>
  <c r="BF24" i="3"/>
  <c r="BV33" i="3"/>
  <c r="BE24" i="3"/>
  <c r="BD24" i="3"/>
  <c r="BJ26" i="3"/>
  <c r="BJ25" i="3"/>
  <c r="BJ24" i="3"/>
  <c r="BK26" i="3"/>
  <c r="BK25" i="3"/>
  <c r="BK24" i="3"/>
  <c r="BL24" i="3"/>
  <c r="BL25" i="3"/>
  <c r="BL26" i="3"/>
  <c r="BM26" i="3"/>
  <c r="BM25" i="3"/>
  <c r="BM24" i="3"/>
  <c r="BO26" i="3"/>
  <c r="BN26" i="3"/>
  <c r="BO25" i="3"/>
  <c r="BO24" i="3"/>
  <c r="BN24" i="3"/>
  <c r="BN25" i="3"/>
  <c r="BP27" i="3"/>
  <c r="BP26" i="3"/>
  <c r="BP25" i="3"/>
  <c r="BP24" i="3"/>
  <c r="BQ27" i="3"/>
  <c r="BQ26" i="3"/>
  <c r="BQ25" i="3"/>
  <c r="BQ24" i="3"/>
  <c r="BR27" i="3"/>
  <c r="BR26" i="3"/>
  <c r="BR25" i="3"/>
  <c r="BR24" i="3"/>
  <c r="BS27" i="3"/>
  <c r="BS26" i="3"/>
  <c r="BS25" i="3"/>
  <c r="BS24" i="3"/>
  <c r="BT27" i="3"/>
  <c r="BT26" i="3"/>
  <c r="BT25" i="3"/>
  <c r="BT24" i="3"/>
  <c r="BU53" i="3"/>
  <c r="BP52" i="3"/>
  <c r="BP51" i="3"/>
  <c r="B42" i="3"/>
  <c r="A4" i="4" s="1"/>
  <c r="BT52" i="3"/>
  <c r="BT51" i="3"/>
  <c r="BS23" i="3"/>
  <c r="BS16" i="3"/>
  <c r="BS15" i="3"/>
  <c r="BQ33" i="3"/>
  <c r="BP33" i="3"/>
  <c r="BR33" i="3"/>
  <c r="BS33" i="3"/>
  <c r="BT33" i="3"/>
  <c r="BS30" i="3"/>
  <c r="BQ22" i="3"/>
  <c r="BQ21" i="3"/>
  <c r="BQ13" i="3"/>
  <c r="BQ9" i="3"/>
  <c r="BQ8" i="3"/>
  <c r="BQ6" i="3"/>
  <c r="BQ3" i="3"/>
  <c r="BP16" i="3"/>
  <c r="BP15" i="3"/>
  <c r="BP8" i="3"/>
  <c r="BP7" i="3"/>
  <c r="BP3" i="3"/>
  <c r="BP30" i="3"/>
  <c r="BP31" i="3"/>
  <c r="BO30" i="3"/>
  <c r="BO31" i="3"/>
  <c r="U31" i="3"/>
  <c r="T31" i="3"/>
  <c r="P31" i="3"/>
  <c r="O31" i="3"/>
  <c r="N31" i="3"/>
  <c r="L32" i="3"/>
  <c r="C42" i="3"/>
  <c r="C1" i="3"/>
  <c r="BQ1" i="3"/>
  <c r="BR1" i="3"/>
  <c r="BR42" i="3" s="1"/>
  <c r="BS1" i="3"/>
  <c r="BS42" i="3" s="1"/>
  <c r="BT1" i="3"/>
  <c r="BT42" i="3" s="1"/>
  <c r="BU1" i="3"/>
  <c r="BU42" i="3" s="1"/>
  <c r="BV1" i="3"/>
  <c r="BV42" i="3" s="1"/>
  <c r="M1" i="3"/>
  <c r="M42" i="3" s="1"/>
  <c r="N1" i="3"/>
  <c r="N42" i="3" s="1"/>
  <c r="O1" i="3"/>
  <c r="O42" i="3" s="1"/>
  <c r="P1" i="3"/>
  <c r="P42" i="3" s="1"/>
  <c r="Q1" i="3"/>
  <c r="Q42" i="3" s="1"/>
  <c r="R1" i="3"/>
  <c r="R42" i="3" s="1"/>
  <c r="S1" i="3"/>
  <c r="S42" i="3" s="1"/>
  <c r="T1" i="3"/>
  <c r="T42" i="3" s="1"/>
  <c r="U1" i="3"/>
  <c r="U42" i="3" s="1"/>
  <c r="V1" i="3"/>
  <c r="V42" i="3" s="1"/>
  <c r="W1" i="3"/>
  <c r="W42" i="3" s="1"/>
  <c r="X1" i="3"/>
  <c r="X42" i="3" s="1"/>
  <c r="Y1" i="3"/>
  <c r="Y42" i="3" s="1"/>
  <c r="Z1" i="3"/>
  <c r="Z42" i="3" s="1"/>
  <c r="AA1" i="3"/>
  <c r="AA42" i="3" s="1"/>
  <c r="AB1" i="3"/>
  <c r="AB42" i="3" s="1"/>
  <c r="AC1" i="3"/>
  <c r="AC42" i="3" s="1"/>
  <c r="AD1" i="3"/>
  <c r="AD42" i="3" s="1"/>
  <c r="AE1" i="3"/>
  <c r="AE42" i="3" s="1"/>
  <c r="AF1" i="3"/>
  <c r="AF42" i="3" s="1"/>
  <c r="AG1" i="3"/>
  <c r="AG42" i="3" s="1"/>
  <c r="AH1" i="3"/>
  <c r="AH42" i="3" s="1"/>
  <c r="AI1" i="3"/>
  <c r="AI42" i="3" s="1"/>
  <c r="AJ1" i="3"/>
  <c r="AJ42" i="3" s="1"/>
  <c r="AK1" i="3"/>
  <c r="AK42" i="3" s="1"/>
  <c r="AL1" i="3"/>
  <c r="AL42" i="3" s="1"/>
  <c r="AM1" i="3"/>
  <c r="AM42" i="3" s="1"/>
  <c r="AN1" i="3"/>
  <c r="AN42" i="3" s="1"/>
  <c r="AO1" i="3"/>
  <c r="AO42" i="3" s="1"/>
  <c r="AP1" i="3"/>
  <c r="AP42" i="3" s="1"/>
  <c r="AQ1" i="3"/>
  <c r="AQ42" i="3" s="1"/>
  <c r="AR1" i="3"/>
  <c r="AR42" i="3" s="1"/>
  <c r="AS1" i="3"/>
  <c r="AS42" i="3" s="1"/>
  <c r="AT1" i="3"/>
  <c r="AT42" i="3" s="1"/>
  <c r="AU1" i="3"/>
  <c r="AU42" i="3" s="1"/>
  <c r="AV1" i="3"/>
  <c r="AV42" i="3" s="1"/>
  <c r="AW1" i="3"/>
  <c r="AW42" i="3" s="1"/>
  <c r="AX1" i="3"/>
  <c r="AX42" i="3" s="1"/>
  <c r="AY1" i="3"/>
  <c r="AY42" i="3" s="1"/>
  <c r="AZ1" i="3"/>
  <c r="AZ42" i="3" s="1"/>
  <c r="BA1" i="3"/>
  <c r="BA42" i="3" s="1"/>
  <c r="BB1" i="3"/>
  <c r="BB42" i="3" s="1"/>
  <c r="BC1" i="3"/>
  <c r="BC42" i="3" s="1"/>
  <c r="BD1" i="3"/>
  <c r="BD42" i="3" s="1"/>
  <c r="BE1" i="3"/>
  <c r="BE42" i="3" s="1"/>
  <c r="BF1" i="3"/>
  <c r="BF42" i="3" s="1"/>
  <c r="BG1" i="3"/>
  <c r="BG42" i="3" s="1"/>
  <c r="BH1" i="3"/>
  <c r="BH42" i="3" s="1"/>
  <c r="BI1" i="3"/>
  <c r="BI42" i="3" s="1"/>
  <c r="BJ1" i="3"/>
  <c r="BJ42" i="3" s="1"/>
  <c r="BK1" i="3"/>
  <c r="BK42" i="3" s="1"/>
  <c r="BL1" i="3"/>
  <c r="BL42" i="3" s="1"/>
  <c r="BM1" i="3"/>
  <c r="BM42" i="3" s="1"/>
  <c r="BN1" i="3"/>
  <c r="BN42" i="3" s="1"/>
  <c r="BO1" i="3"/>
  <c r="BO42" i="3" s="1"/>
  <c r="BP1" i="3"/>
  <c r="F1" i="3"/>
  <c r="F42" i="3" s="1"/>
  <c r="G1" i="3"/>
  <c r="G42" i="3" s="1"/>
  <c r="H1" i="3"/>
  <c r="H42" i="3" s="1"/>
  <c r="I1" i="3"/>
  <c r="I42" i="3" s="1"/>
  <c r="J1" i="3"/>
  <c r="J42" i="3" s="1"/>
  <c r="K1" i="3"/>
  <c r="K42" i="3" s="1"/>
  <c r="L1" i="3"/>
  <c r="L42" i="3" s="1"/>
  <c r="E1" i="3"/>
  <c r="D1" i="3"/>
  <c r="D42" i="3" s="1"/>
  <c r="A1" i="3"/>
  <c r="B1" i="3"/>
  <c r="BI19" i="3"/>
  <c r="BI16" i="3"/>
  <c r="BI15" i="3"/>
  <c r="BH19" i="3"/>
  <c r="BG19" i="3"/>
  <c r="BH16" i="3"/>
  <c r="BH15" i="3"/>
  <c r="BG16" i="3"/>
  <c r="BG15" i="3"/>
  <c r="BJ19" i="3"/>
  <c r="BJ16" i="3"/>
  <c r="BJ15" i="3"/>
  <c r="BK19" i="3"/>
  <c r="BK16" i="3"/>
  <c r="BK15" i="3"/>
  <c r="BL19" i="3"/>
  <c r="BL16" i="3"/>
  <c r="BL15" i="3"/>
  <c r="BM16" i="3"/>
  <c r="BM15" i="3"/>
  <c r="BN15" i="3"/>
  <c r="BN16" i="3"/>
  <c r="BM19" i="3"/>
  <c r="BN19" i="3"/>
  <c r="BO16" i="3"/>
  <c r="BO15" i="3"/>
  <c r="BN31" i="3"/>
  <c r="BM31" i="3"/>
  <c r="BL31" i="3"/>
  <c r="BK31" i="3"/>
  <c r="BJ31" i="3"/>
  <c r="AE46" i="3"/>
  <c r="AD46" i="3"/>
  <c r="AC46" i="3"/>
  <c r="BN30" i="3"/>
  <c r="BM30" i="3"/>
  <c r="BL30" i="3"/>
  <c r="BK30" i="3"/>
  <c r="BJ30" i="3"/>
  <c r="E30" i="3"/>
  <c r="BO7" i="3"/>
  <c r="BN7" i="3"/>
  <c r="BM7" i="3"/>
  <c r="BL7" i="3"/>
  <c r="BK7" i="3"/>
  <c r="BJ7" i="3"/>
  <c r="BI7" i="3"/>
  <c r="BH7" i="3"/>
  <c r="BG7" i="3"/>
  <c r="BF7" i="3"/>
  <c r="E7" i="3"/>
  <c r="D7" i="3"/>
  <c r="BM29" i="3"/>
  <c r="BL29" i="3"/>
  <c r="BK29" i="3"/>
  <c r="BJ29" i="3"/>
  <c r="BI29" i="3"/>
  <c r="BH29" i="3"/>
  <c r="BG29" i="3"/>
  <c r="E29" i="3"/>
  <c r="D29" i="3"/>
  <c r="BM28" i="3"/>
  <c r="BL28" i="3"/>
  <c r="BK28" i="3"/>
  <c r="BJ28" i="3"/>
  <c r="BI28" i="3"/>
  <c r="BH28" i="3"/>
  <c r="BG28" i="3"/>
  <c r="BC28" i="3"/>
  <c r="E28" i="3"/>
  <c r="E21" i="3"/>
  <c r="E23" i="3"/>
  <c r="E18" i="3"/>
  <c r="E17" i="3"/>
  <c r="E14" i="3"/>
  <c r="BO13" i="3"/>
  <c r="BN13" i="3"/>
  <c r="BM13" i="3"/>
  <c r="BL13" i="3"/>
  <c r="BK13" i="3"/>
  <c r="BJ13" i="3"/>
  <c r="BI13" i="3"/>
  <c r="BH13" i="3"/>
  <c r="BG13" i="3"/>
  <c r="E13" i="3"/>
  <c r="E11" i="3"/>
  <c r="E10" i="3"/>
  <c r="E9" i="3"/>
  <c r="BO8" i="3"/>
  <c r="BN8" i="3"/>
  <c r="BM8" i="3"/>
  <c r="BL8" i="3"/>
  <c r="BK8" i="3"/>
  <c r="BJ8" i="3"/>
  <c r="BI8" i="3"/>
  <c r="BH8" i="3"/>
  <c r="BG8" i="3"/>
  <c r="BC8" i="3"/>
  <c r="E8" i="3"/>
  <c r="D8" i="3"/>
  <c r="E6" i="3"/>
  <c r="E5" i="3"/>
  <c r="E4" i="3"/>
  <c r="E3" i="3"/>
  <c r="BQ42" i="3" l="1"/>
  <c r="CA42" i="3" s="1"/>
  <c r="BP42" i="3"/>
  <c r="CA67" i="3" s="1"/>
  <c r="E42" i="3"/>
  <c r="BD41" i="3"/>
  <c r="BZ41" i="3" l="1"/>
  <c r="BX41" i="3"/>
  <c r="BY41" i="3"/>
  <c r="K41" i="3"/>
  <c r="BW41" i="3"/>
  <c r="BB41" i="3"/>
  <c r="P41" i="3"/>
  <c r="AT41" i="3"/>
  <c r="AC41" i="3"/>
  <c r="BG41" i="3"/>
  <c r="Y41" i="3"/>
  <c r="U41" i="3"/>
  <c r="H41" i="3"/>
  <c r="BU41" i="3"/>
  <c r="BT41" i="3"/>
  <c r="AS41" i="3"/>
  <c r="AK41" i="3"/>
  <c r="BA41" i="3"/>
  <c r="BP41" i="3"/>
  <c r="T41" i="3"/>
  <c r="R41" i="3"/>
  <c r="N41" i="3"/>
  <c r="AL41" i="3"/>
  <c r="AQ41" i="3"/>
  <c r="Q41" i="3"/>
  <c r="BC41" i="3"/>
  <c r="AX41" i="3"/>
  <c r="AJ41" i="3"/>
  <c r="AR41" i="3"/>
  <c r="V41" i="3"/>
  <c r="AP41" i="3"/>
  <c r="AH41" i="3"/>
  <c r="AI41" i="3"/>
  <c r="AD41" i="3"/>
  <c r="AA41" i="3"/>
  <c r="AN41" i="3"/>
  <c r="BS41" i="3"/>
  <c r="BV41" i="3"/>
  <c r="BR41" i="3"/>
  <c r="W41" i="3"/>
  <c r="G41" i="3"/>
  <c r="AG41" i="3"/>
  <c r="BQ41" i="3"/>
  <c r="AY41" i="3"/>
  <c r="X41" i="3"/>
  <c r="I41" i="3"/>
  <c r="BO41" i="3"/>
  <c r="AE41" i="3"/>
  <c r="AV41" i="3"/>
  <c r="O41" i="3"/>
  <c r="AU41" i="3"/>
  <c r="M41" i="3"/>
  <c r="AB41" i="3"/>
  <c r="BL41" i="3"/>
  <c r="BI41" i="3"/>
  <c r="BK41" i="3"/>
  <c r="BE41" i="3"/>
  <c r="AM41" i="3"/>
  <c r="E41" i="3"/>
  <c r="AZ41" i="3"/>
  <c r="S41" i="3"/>
  <c r="BN41" i="3"/>
  <c r="AF41" i="3"/>
  <c r="Z41" i="3"/>
  <c r="BH41" i="3"/>
  <c r="BJ41" i="3"/>
  <c r="F41" i="3"/>
  <c r="L41" i="3"/>
  <c r="BF41" i="3"/>
  <c r="AO41" i="3"/>
  <c r="AW41" i="3"/>
  <c r="BM41" i="3"/>
  <c r="J41" i="3"/>
  <c r="CA68" i="3" l="1"/>
  <c r="K27" i="4" s="1"/>
</calcChain>
</file>

<file path=xl/comments1.xml><?xml version="1.0" encoding="utf-8"?>
<comments xmlns="http://schemas.openxmlformats.org/spreadsheetml/2006/main">
  <authors>
    <author>Müller, Richard (LEL)</author>
    <author>Stock, Martina (LEL-SG)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einschließlich Körnermais
</t>
        </r>
      </text>
    </comment>
    <comment ref="BQ3" authorId="0" shapeId="0">
      <text>
        <r>
          <rPr>
            <b/>
            <sz val="8"/>
            <color indexed="81"/>
            <rFont val="Tahoma"/>
            <family val="2"/>
          </rPr>
          <t>ohne Körnermais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einschließlich Körnermais</t>
        </r>
      </text>
    </comment>
    <comment ref="BS23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Wiesen + Weiden + Feldgars/Grasanbau</t>
        </r>
      </text>
    </comment>
    <comment ref="BP29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Hopfenpflanzerverband Tettnang</t>
        </r>
      </text>
    </comment>
    <comment ref="BQ29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Hopfenpflanzerverband Tettnang</t>
        </r>
      </text>
    </comment>
    <comment ref="BR29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Hopfenpflanzerverband Tettnang</t>
        </r>
      </text>
    </comment>
    <comment ref="BS29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Hopfenpflanzerverband Tettnang</t>
        </r>
      </text>
    </comment>
    <comment ref="BT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</t>
        </r>
      </text>
    </comment>
    <comment ref="BU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
</t>
        </r>
      </text>
    </comment>
    <comment ref="BV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</t>
        </r>
      </text>
    </comment>
    <comment ref="BW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
</t>
        </r>
      </text>
    </comment>
    <comment ref="BX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
</t>
        </r>
      </text>
    </comment>
    <comment ref="BY29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https://tettnanger-hopfen.de/tettnanger-hopfen/statistik/</t>
        </r>
      </text>
    </comment>
    <comment ref="BY31" authorId="1" shapeId="0">
      <text>
        <r>
          <rPr>
            <b/>
            <sz val="9"/>
            <color indexed="81"/>
            <rFont val="Segoe UI"/>
            <family val="2"/>
          </rPr>
          <t>Stock, Martina (LEL-SG):</t>
        </r>
        <r>
          <rPr>
            <sz val="9"/>
            <color indexed="81"/>
            <rFont val="Segoe UI"/>
            <family val="2"/>
          </rPr>
          <t xml:space="preserve">
Erdbeeren im Freiland zusammen (Fläche im Ertrag (Erntefläche))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Äpfel, Birnen</t>
        </r>
      </text>
    </comment>
    <comment ref="B52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Süßkirschen, Sauerkirschen, Pflaumen/Zwetschgen, Mirabellen/Renekloden</t>
        </r>
      </text>
    </comment>
  </commentList>
</comments>
</file>

<file path=xl/sharedStrings.xml><?xml version="1.0" encoding="utf-8"?>
<sst xmlns="http://schemas.openxmlformats.org/spreadsheetml/2006/main" count="207" uniqueCount="62">
  <si>
    <t>…</t>
  </si>
  <si>
    <t>*</t>
  </si>
  <si>
    <t>hl/ha</t>
  </si>
  <si>
    <t>Wein (1000 hl)</t>
  </si>
  <si>
    <t>Spargel</t>
  </si>
  <si>
    <t>Triticale</t>
  </si>
  <si>
    <t>Roggen</t>
  </si>
  <si>
    <t>Hopfen</t>
  </si>
  <si>
    <t>Tabak</t>
  </si>
  <si>
    <t>Raufutter</t>
  </si>
  <si>
    <t>Silomais</t>
  </si>
  <si>
    <t>Kartoffeln</t>
  </si>
  <si>
    <t>Hafer</t>
  </si>
  <si>
    <t>Getreide insgesamt</t>
  </si>
  <si>
    <t>Jahr</t>
  </si>
  <si>
    <t>Bestockte Rebfläche</t>
  </si>
  <si>
    <t>Brotgetreide</t>
  </si>
  <si>
    <t>Futter-/Industriegetreide</t>
  </si>
  <si>
    <t>Winterweizen</t>
  </si>
  <si>
    <t>Gerste zusammen</t>
  </si>
  <si>
    <t>Wintergerste</t>
  </si>
  <si>
    <t>Sommergerste</t>
  </si>
  <si>
    <t>Körnermais</t>
  </si>
  <si>
    <t>Hülsenfrüchte</t>
  </si>
  <si>
    <t>Zuckerrüben</t>
  </si>
  <si>
    <t>Winterraps</t>
  </si>
  <si>
    <t>Futtererbsen</t>
  </si>
  <si>
    <t>Ackerbohnen</t>
  </si>
  <si>
    <t>Erdbeeren</t>
  </si>
  <si>
    <t>Quelle: Statistisches Landesamt Baden-Württemberg</t>
  </si>
  <si>
    <t>Ernte der Hauptfeldfrüchte (Hektarerträge)</t>
  </si>
  <si>
    <t>dt/ha</t>
  </si>
  <si>
    <t>Wein</t>
  </si>
  <si>
    <t>letzter Wert</t>
  </si>
  <si>
    <t>erster Wert</t>
  </si>
  <si>
    <t>Kontrolle</t>
  </si>
  <si>
    <t>Ölfrüchte</t>
  </si>
  <si>
    <t>Entwicklung seit 1950</t>
  </si>
  <si>
    <t>Rauhfutter</t>
  </si>
  <si>
    <t>berechnet aus der Summe der Erntemenge (Wiesen, Weiden, Feldgras/Grasanbau) geteilt durch Summe Anbaufläche</t>
  </si>
  <si>
    <t>Strauchbeeren</t>
  </si>
  <si>
    <t>Kernobst</t>
  </si>
  <si>
    <t>dt</t>
  </si>
  <si>
    <t>Steinobst</t>
  </si>
  <si>
    <t>2 458 375</t>
  </si>
  <si>
    <t>349 148</t>
  </si>
  <si>
    <t>Veränderung im Zeitraum:</t>
  </si>
  <si>
    <t>Soja</t>
  </si>
  <si>
    <t>ha</t>
  </si>
  <si>
    <t>1532 ha</t>
  </si>
  <si>
    <t>Wiesen</t>
  </si>
  <si>
    <t>Weiden</t>
  </si>
  <si>
    <t>Feldgras</t>
  </si>
  <si>
    <t>Leguminosen</t>
  </si>
  <si>
    <t>Quelle Hopfen ab 2015: https://tettnanger-hopfen.de/tettnanger-hopfen/statistik/</t>
  </si>
  <si>
    <t>Äpfel (Kernobst)</t>
  </si>
  <si>
    <t>Birnen (Kernobst)</t>
  </si>
  <si>
    <t>Süßkirschen (Steinobst)</t>
  </si>
  <si>
    <t>Sauerkirschen (Steinobst)</t>
  </si>
  <si>
    <t>Pflaumen/Zwetschgen (Steinobst)</t>
  </si>
  <si>
    <t>Mirabellen/Renekloden (Steinobst)</t>
  </si>
  <si>
    <t>Bearbeitung: LEL Schwäbisch Gmünd, Abt. 3, 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</si>
</sst>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.0\ _€_-;\-* #,##0.0\ _€_-;_-* &quot;-&quot;??\ _€_-;_-@_-"/>
    <numFmt numFmtId="166" formatCode="0_ ;\-0\ "/>
    <numFmt numFmtId="167" formatCode="0.0"/>
  </numFmts>
  <fonts count="1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AE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5">
    <xf numFmtId="0" fontId="0" fillId="0" borderId="0" xfId="0"/>
    <xf numFmtId="165" fontId="6" fillId="0" borderId="0" xfId="1" applyNumberFormat="1" applyFont="1" applyBorder="1" applyAlignment="1">
      <alignment vertical="center" wrapText="1"/>
    </xf>
    <xf numFmtId="165" fontId="6" fillId="2" borderId="0" xfId="1" applyNumberFormat="1" applyFont="1" applyFill="1" applyBorder="1" applyAlignment="1">
      <alignment vertical="center" wrapText="1"/>
    </xf>
    <xf numFmtId="165" fontId="6" fillId="0" borderId="0" xfId="1" applyNumberFormat="1" applyFont="1" applyBorder="1"/>
    <xf numFmtId="165" fontId="6" fillId="3" borderId="0" xfId="1" applyNumberFormat="1" applyFont="1" applyFill="1" applyBorder="1" applyAlignment="1">
      <alignment vertical="center" wrapText="1"/>
    </xf>
    <xf numFmtId="165" fontId="6" fillId="2" borderId="0" xfId="1" applyNumberFormat="1" applyFont="1" applyFill="1" applyBorder="1"/>
    <xf numFmtId="165" fontId="6" fillId="3" borderId="0" xfId="1" applyNumberFormat="1" applyFont="1" applyFill="1" applyBorder="1"/>
    <xf numFmtId="165" fontId="6" fillId="4" borderId="0" xfId="1" applyNumberFormat="1" applyFont="1" applyFill="1" applyBorder="1"/>
    <xf numFmtId="165" fontId="6" fillId="5" borderId="0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166" fontId="7" fillId="5" borderId="1" xfId="1" applyNumberFormat="1" applyFont="1" applyFill="1" applyBorder="1" applyAlignment="1">
      <alignment horizontal="left" vertical="top" wrapText="1"/>
    </xf>
    <xf numFmtId="166" fontId="7" fillId="5" borderId="1" xfId="1" applyNumberFormat="1" applyFont="1" applyFill="1" applyBorder="1" applyAlignment="1">
      <alignment horizontal="center"/>
    </xf>
    <xf numFmtId="166" fontId="7" fillId="5" borderId="2" xfId="1" applyNumberFormat="1" applyFont="1" applyFill="1" applyBorder="1" applyAlignment="1">
      <alignment horizontal="left" vertical="top" wrapText="1"/>
    </xf>
    <xf numFmtId="165" fontId="6" fillId="5" borderId="3" xfId="1" applyNumberFormat="1" applyFont="1" applyFill="1" applyBorder="1" applyAlignment="1">
      <alignment horizontal="left" vertical="top" wrapText="1"/>
    </xf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6" xfId="0" applyFont="1" applyBorder="1"/>
    <xf numFmtId="0" fontId="6" fillId="0" borderId="7" xfId="0" applyFont="1" applyBorder="1" applyAlignment="1">
      <alignment horizontal="left"/>
    </xf>
    <xf numFmtId="165" fontId="6" fillId="0" borderId="7" xfId="1" applyNumberFormat="1" applyFont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9" xfId="0" applyBorder="1"/>
    <xf numFmtId="165" fontId="6" fillId="0" borderId="9" xfId="1" applyNumberFormat="1" applyFont="1" applyBorder="1"/>
    <xf numFmtId="165" fontId="6" fillId="0" borderId="8" xfId="1" applyNumberFormat="1" applyFont="1" applyBorder="1"/>
    <xf numFmtId="165" fontId="6" fillId="0" borderId="10" xfId="1" applyNumberFormat="1" applyFont="1" applyBorder="1"/>
    <xf numFmtId="165" fontId="4" fillId="3" borderId="0" xfId="1" applyNumberFormat="1" applyFont="1" applyFill="1" applyBorder="1"/>
    <xf numFmtId="0" fontId="6" fillId="0" borderId="0" xfId="0" applyFont="1"/>
    <xf numFmtId="165" fontId="6" fillId="0" borderId="0" xfId="1" applyNumberFormat="1" applyFont="1" applyFill="1" applyBorder="1" applyAlignment="1">
      <alignment vertical="center" wrapText="1"/>
    </xf>
    <xf numFmtId="165" fontId="1" fillId="5" borderId="3" xfId="1" applyNumberFormat="1" applyFont="1" applyFill="1" applyBorder="1" applyAlignment="1">
      <alignment horizontal="left" vertical="top" wrapText="1"/>
    </xf>
    <xf numFmtId="3" fontId="0" fillId="0" borderId="0" xfId="0" applyNumberFormat="1"/>
    <xf numFmtId="165" fontId="4" fillId="0" borderId="0" xfId="1" applyNumberFormat="1" applyFont="1" applyBorder="1" applyAlignment="1">
      <alignment vertical="center" wrapText="1"/>
    </xf>
    <xf numFmtId="0" fontId="8" fillId="6" borderId="0" xfId="0" applyFont="1" applyFill="1" applyAlignment="1">
      <alignment horizontal="center" vertical="center"/>
    </xf>
    <xf numFmtId="0" fontId="0" fillId="6" borderId="0" xfId="0" applyFill="1"/>
    <xf numFmtId="0" fontId="0" fillId="6" borderId="0" xfId="0" applyFill="1" applyBorder="1"/>
    <xf numFmtId="0" fontId="4" fillId="6" borderId="0" xfId="0" applyFont="1" applyFill="1" applyBorder="1"/>
    <xf numFmtId="0" fontId="4" fillId="6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9" fontId="9" fillId="6" borderId="0" xfId="0" applyNumberFormat="1" applyFont="1" applyFill="1" applyAlignment="1">
      <alignment horizontal="left" vertical="center"/>
    </xf>
    <xf numFmtId="9" fontId="0" fillId="0" borderId="0" xfId="2" applyFont="1"/>
    <xf numFmtId="0" fontId="10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5" fontId="11" fillId="6" borderId="0" xfId="0" applyNumberFormat="1" applyFont="1" applyFill="1" applyAlignment="1">
      <alignment horizontal="center"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CF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18682579622143E-2"/>
          <c:y val="0.12158861859421069"/>
          <c:w val="0.91049674561669391"/>
          <c:h val="0.77283209248649365"/>
        </c:manualLayout>
      </c:layout>
      <c:barChart>
        <c:barDir val="col"/>
        <c:grouping val="stacked"/>
        <c:varyColors val="0"/>
        <c:ser>
          <c:idx val="8"/>
          <c:order val="0"/>
          <c:spPr>
            <a:solidFill>
              <a:srgbClr val="00B050"/>
            </a:solidFill>
          </c:spPr>
          <c:invertIfNegative val="0"/>
          <c:cat>
            <c:numRef>
              <c:f>'Daten Hektarerträge'!$F$2:$BY$2</c:f>
              <c:numCache>
                <c:formatCode>0_ ;\-0\ </c:formatCode>
                <c:ptCount val="7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</c:numCache>
            </c:numRef>
          </c:cat>
          <c:val>
            <c:numRef>
              <c:f>'Daten Hektarerträge'!$F$42:$BY$42</c:f>
              <c:numCache>
                <c:formatCode>_-* #,##0.0\ _€_-;\-* #,##0.0\ _€_-;_-* "-"??\ _€_-;_-@_-</c:formatCode>
                <c:ptCount val="72"/>
                <c:pt idx="0">
                  <c:v>24.3</c:v>
                </c:pt>
                <c:pt idx="1">
                  <c:v>25.3</c:v>
                </c:pt>
                <c:pt idx="2">
                  <c:v>23.9</c:v>
                </c:pt>
                <c:pt idx="3">
                  <c:v>24.8</c:v>
                </c:pt>
                <c:pt idx="4">
                  <c:v>27.2</c:v>
                </c:pt>
                <c:pt idx="5">
                  <c:v>26.5</c:v>
                </c:pt>
                <c:pt idx="6">
                  <c:v>29.6</c:v>
                </c:pt>
                <c:pt idx="7">
                  <c:v>30.7</c:v>
                </c:pt>
                <c:pt idx="8">
                  <c:v>27.9</c:v>
                </c:pt>
                <c:pt idx="9">
                  <c:v>32.200000000000003</c:v>
                </c:pt>
                <c:pt idx="10">
                  <c:v>34.4</c:v>
                </c:pt>
                <c:pt idx="11">
                  <c:v>29.3</c:v>
                </c:pt>
                <c:pt idx="12">
                  <c:v>33.799999999999997</c:v>
                </c:pt>
                <c:pt idx="13">
                  <c:v>34.4</c:v>
                </c:pt>
                <c:pt idx="14">
                  <c:v>34.5</c:v>
                </c:pt>
                <c:pt idx="15">
                  <c:v>29.8</c:v>
                </c:pt>
                <c:pt idx="16">
                  <c:v>33.9</c:v>
                </c:pt>
                <c:pt idx="17">
                  <c:v>42.6</c:v>
                </c:pt>
                <c:pt idx="18">
                  <c:v>39</c:v>
                </c:pt>
                <c:pt idx="19">
                  <c:v>37.6</c:v>
                </c:pt>
                <c:pt idx="20">
                  <c:v>33.5</c:v>
                </c:pt>
                <c:pt idx="21">
                  <c:v>45.9</c:v>
                </c:pt>
                <c:pt idx="22">
                  <c:v>38.6</c:v>
                </c:pt>
                <c:pt idx="23">
                  <c:v>42.3</c:v>
                </c:pt>
                <c:pt idx="24">
                  <c:v>45.3</c:v>
                </c:pt>
                <c:pt idx="25">
                  <c:v>39.200000000000003</c:v>
                </c:pt>
                <c:pt idx="26">
                  <c:v>40.799999999999997</c:v>
                </c:pt>
                <c:pt idx="27">
                  <c:v>40.799999999999997</c:v>
                </c:pt>
                <c:pt idx="28">
                  <c:v>45.2</c:v>
                </c:pt>
                <c:pt idx="29">
                  <c:v>47.8</c:v>
                </c:pt>
                <c:pt idx="30">
                  <c:v>45.8</c:v>
                </c:pt>
                <c:pt idx="31">
                  <c:v>49.9</c:v>
                </c:pt>
                <c:pt idx="32">
                  <c:v>50</c:v>
                </c:pt>
                <c:pt idx="33">
                  <c:v>47.5</c:v>
                </c:pt>
                <c:pt idx="34">
                  <c:v>57.8</c:v>
                </c:pt>
                <c:pt idx="35">
                  <c:v>56.7</c:v>
                </c:pt>
                <c:pt idx="36">
                  <c:v>50.3</c:v>
                </c:pt>
                <c:pt idx="37">
                  <c:v>49</c:v>
                </c:pt>
                <c:pt idx="38">
                  <c:v>62.5</c:v>
                </c:pt>
                <c:pt idx="39">
                  <c:v>61.1</c:v>
                </c:pt>
                <c:pt idx="40">
                  <c:v>61.2</c:v>
                </c:pt>
                <c:pt idx="41">
                  <c:v>67.900000000000006</c:v>
                </c:pt>
                <c:pt idx="42">
                  <c:v>62.2</c:v>
                </c:pt>
                <c:pt idx="43">
                  <c:v>65.3</c:v>
                </c:pt>
                <c:pt idx="44">
                  <c:v>60.4</c:v>
                </c:pt>
                <c:pt idx="45">
                  <c:v>55.4</c:v>
                </c:pt>
                <c:pt idx="46">
                  <c:v>73.8</c:v>
                </c:pt>
                <c:pt idx="47">
                  <c:v>67.7</c:v>
                </c:pt>
                <c:pt idx="48">
                  <c:v>72.7</c:v>
                </c:pt>
                <c:pt idx="49">
                  <c:v>63.3</c:v>
                </c:pt>
                <c:pt idx="50">
                  <c:v>69.599999999999994</c:v>
                </c:pt>
                <c:pt idx="51">
                  <c:v>70.2</c:v>
                </c:pt>
                <c:pt idx="52">
                  <c:v>68.2</c:v>
                </c:pt>
                <c:pt idx="53">
                  <c:v>59.7</c:v>
                </c:pt>
                <c:pt idx="54">
                  <c:v>77.7</c:v>
                </c:pt>
                <c:pt idx="55">
                  <c:v>68.8</c:v>
                </c:pt>
                <c:pt idx="56">
                  <c:v>73.5</c:v>
                </c:pt>
                <c:pt idx="57">
                  <c:v>72.3</c:v>
                </c:pt>
                <c:pt idx="58">
                  <c:v>74.400000000000006</c:v>
                </c:pt>
                <c:pt idx="59">
                  <c:v>73.5</c:v>
                </c:pt>
                <c:pt idx="60">
                  <c:v>69</c:v>
                </c:pt>
                <c:pt idx="61">
                  <c:v>69.8</c:v>
                </c:pt>
                <c:pt idx="62">
                  <c:v>68.3</c:v>
                </c:pt>
                <c:pt idx="63">
                  <c:v>74.139489051094884</c:v>
                </c:pt>
                <c:pt idx="64">
                  <c:v>80.5</c:v>
                </c:pt>
                <c:pt idx="65">
                  <c:v>76.3</c:v>
                </c:pt>
                <c:pt idx="66">
                  <c:v>67.8</c:v>
                </c:pt>
                <c:pt idx="67">
                  <c:v>77.8</c:v>
                </c:pt>
                <c:pt idx="68">
                  <c:v>76</c:v>
                </c:pt>
                <c:pt idx="69">
                  <c:v>76.2</c:v>
                </c:pt>
                <c:pt idx="70">
                  <c:v>80.7</c:v>
                </c:pt>
                <c:pt idx="71">
                  <c:v>66.8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2-4A8E-8474-E7F889893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8"/>
        <c:overlap val="100"/>
        <c:axId val="37212160"/>
        <c:axId val="37213696"/>
      </c:barChart>
      <c:catAx>
        <c:axId val="37212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13696"/>
        <c:crosses val="autoZero"/>
        <c:auto val="1"/>
        <c:lblAlgn val="ctr"/>
        <c:lblOffset val="100"/>
        <c:noMultiLvlLbl val="0"/>
      </c:catAx>
      <c:valAx>
        <c:axId val="37213696"/>
        <c:scaling>
          <c:orientation val="minMax"/>
        </c:scaling>
        <c:delete val="0"/>
        <c:axPos val="l"/>
        <c:majorGridlines/>
        <c:title>
          <c:tx>
            <c:strRef>
              <c:f>'Daten Hektarerträge'!$C$42</c:f>
              <c:strCache>
                <c:ptCount val="1"/>
                <c:pt idx="0">
                  <c:v>dt/ha</c:v>
                </c:pt>
              </c:strCache>
            </c:strRef>
          </c:tx>
          <c:layout>
            <c:manualLayout>
              <c:xMode val="edge"/>
              <c:yMode val="edge"/>
              <c:x val="0"/>
              <c:y val="1.5017775957196101E-3"/>
            </c:manualLayout>
          </c:layout>
          <c:overlay val="0"/>
          <c:txPr>
            <a:bodyPr rot="0" vert="horz"/>
            <a:lstStyle/>
            <a:p>
              <a:pPr algn="ctr">
                <a:defRPr sz="14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12160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noFill/>
    <a:ln w="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'Daten Hektarerträge'!$A$42" fmlaRange="'Daten Hektarerträge'!$B$3:$B$39" noThreeD="1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247650</xdr:rowOff>
    </xdr:from>
    <xdr:to>
      <xdr:col>10</xdr:col>
      <xdr:colOff>609600</xdr:colOff>
      <xdr:row>25</xdr:row>
      <xdr:rowOff>123825</xdr:rowOff>
    </xdr:to>
    <xdr:graphicFrame macro="">
      <xdr:nvGraphicFramePr>
        <xdr:cNvPr id="631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26</xdr:row>
      <xdr:rowOff>47625</xdr:rowOff>
    </xdr:from>
    <xdr:to>
      <xdr:col>0</xdr:col>
      <xdr:colOff>581025</xdr:colOff>
      <xdr:row>27</xdr:row>
      <xdr:rowOff>85725</xdr:rowOff>
    </xdr:to>
    <xdr:pic>
      <xdr:nvPicPr>
        <xdr:cNvPr id="6319" name="Picture 7" descr="P:\90_EigeneVorlagen\LOGO-LEL_transparent.tif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143625"/>
          <a:ext cx="542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3</xdr:row>
          <xdr:rowOff>19050</xdr:rowOff>
        </xdr:from>
        <xdr:to>
          <xdr:col>7</xdr:col>
          <xdr:colOff>28575</xdr:colOff>
          <xdr:row>4</xdr:row>
          <xdr:rowOff>76200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29"/>
  <sheetViews>
    <sheetView tabSelected="1" workbookViewId="0">
      <selection activeCell="O24" sqref="O24"/>
    </sheetView>
  </sheetViews>
  <sheetFormatPr baseColWidth="10" defaultRowHeight="14.25" x14ac:dyDescent="0.2"/>
  <sheetData>
    <row r="1" spans="1:11" ht="21.2" customHeight="1" x14ac:dyDescent="0.2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1.2" customHeight="1" x14ac:dyDescent="0.2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1.2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21.2" customHeight="1" x14ac:dyDescent="0.2">
      <c r="A4" s="44" t="str">
        <f>'Daten Hektarerträge'!B42</f>
        <v>Winterweizen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8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8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8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ht="18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ht="18" customHeight="1" x14ac:dyDescent="0.2">
      <c r="A9" s="35"/>
      <c r="B9" s="35"/>
      <c r="C9" s="35"/>
      <c r="D9" s="34"/>
      <c r="E9" s="34"/>
      <c r="F9" s="34"/>
      <c r="G9" s="34"/>
      <c r="H9" s="34"/>
      <c r="I9" s="34"/>
      <c r="J9" s="34"/>
      <c r="K9" s="34"/>
    </row>
    <row r="10" spans="1:11" ht="18" customHeight="1" x14ac:dyDescent="0.2">
      <c r="A10" s="35"/>
      <c r="B10" s="35"/>
      <c r="C10" s="35"/>
      <c r="D10" s="34"/>
      <c r="E10" s="34"/>
      <c r="F10" s="34"/>
      <c r="G10" s="34"/>
      <c r="H10" s="34"/>
      <c r="I10" s="34"/>
      <c r="J10" s="34"/>
      <c r="K10" s="34"/>
    </row>
    <row r="11" spans="1:11" ht="18" customHeight="1" x14ac:dyDescent="0.2">
      <c r="A11" s="35"/>
      <c r="B11" s="35"/>
      <c r="C11" s="35"/>
      <c r="D11" s="34"/>
      <c r="E11" s="34"/>
      <c r="F11" s="34"/>
      <c r="G11" s="34"/>
      <c r="H11" s="34"/>
      <c r="I11" s="34"/>
      <c r="J11" s="34"/>
      <c r="K11" s="34"/>
    </row>
    <row r="12" spans="1:11" ht="18" customHeight="1" x14ac:dyDescent="0.2">
      <c r="A12" s="35"/>
      <c r="B12" s="35"/>
      <c r="C12" s="35"/>
      <c r="D12" s="34"/>
      <c r="E12" s="34"/>
      <c r="F12" s="34"/>
      <c r="G12" s="34"/>
      <c r="H12" s="34"/>
      <c r="I12" s="34"/>
      <c r="J12" s="34"/>
      <c r="K12" s="34"/>
    </row>
    <row r="13" spans="1:11" ht="18" customHeight="1" x14ac:dyDescent="0.2">
      <c r="A13" s="35"/>
      <c r="B13" s="35"/>
      <c r="C13" s="35"/>
      <c r="D13" s="34"/>
      <c r="E13" s="34"/>
      <c r="F13" s="34"/>
      <c r="G13" s="34"/>
      <c r="H13" s="34"/>
      <c r="I13" s="34"/>
      <c r="J13" s="34"/>
      <c r="K13" s="34"/>
    </row>
    <row r="14" spans="1:11" ht="18" customHeight="1" x14ac:dyDescent="0.2">
      <c r="A14" s="35"/>
      <c r="B14" s="35"/>
      <c r="C14" s="35"/>
      <c r="D14" s="34"/>
      <c r="E14" s="34"/>
      <c r="F14" s="34"/>
      <c r="G14" s="34"/>
      <c r="H14" s="34"/>
      <c r="I14" s="34"/>
      <c r="J14" s="34"/>
      <c r="K14" s="34"/>
    </row>
    <row r="15" spans="1:11" ht="18" customHeight="1" x14ac:dyDescent="0.2">
      <c r="A15" s="35"/>
      <c r="B15" s="35"/>
      <c r="C15" s="35"/>
      <c r="D15" s="34"/>
      <c r="E15" s="34"/>
      <c r="F15" s="34"/>
      <c r="G15" s="34"/>
      <c r="H15" s="34"/>
      <c r="I15" s="34"/>
      <c r="J15" s="34"/>
      <c r="K15" s="34"/>
    </row>
    <row r="16" spans="1:11" ht="18" customHeight="1" x14ac:dyDescent="0.2">
      <c r="A16" s="35"/>
      <c r="B16" s="35"/>
      <c r="C16" s="35"/>
      <c r="D16" s="34"/>
      <c r="E16" s="34"/>
      <c r="F16" s="34"/>
      <c r="G16" s="34"/>
      <c r="H16" s="34"/>
      <c r="I16" s="34"/>
      <c r="J16" s="34"/>
      <c r="K16" s="34"/>
    </row>
    <row r="17" spans="1:11" ht="18" customHeight="1" x14ac:dyDescent="0.2">
      <c r="A17" s="35"/>
      <c r="B17" s="35"/>
      <c r="C17" s="35"/>
      <c r="D17" s="34"/>
      <c r="E17" s="34"/>
      <c r="F17" s="34"/>
      <c r="G17" s="34"/>
      <c r="H17" s="34"/>
      <c r="I17" s="34"/>
      <c r="J17" s="34"/>
      <c r="K17" s="34"/>
    </row>
    <row r="18" spans="1:11" ht="18" customHeight="1" x14ac:dyDescent="0.2">
      <c r="A18" s="35"/>
      <c r="B18" s="35"/>
      <c r="C18" s="35"/>
      <c r="D18" s="34"/>
      <c r="E18" s="34"/>
      <c r="F18" s="34"/>
      <c r="G18" s="34"/>
      <c r="H18" s="34"/>
      <c r="I18" s="34"/>
      <c r="J18" s="34"/>
      <c r="K18" s="34"/>
    </row>
    <row r="19" spans="1:11" ht="18" customHeight="1" x14ac:dyDescent="0.2">
      <c r="A19" s="35"/>
      <c r="B19" s="35"/>
      <c r="C19" s="35"/>
      <c r="D19" s="34"/>
      <c r="E19" s="34"/>
      <c r="F19" s="34"/>
      <c r="G19" s="34"/>
      <c r="H19" s="34"/>
      <c r="I19" s="34"/>
      <c r="J19" s="34"/>
      <c r="K19" s="34"/>
    </row>
    <row r="20" spans="1:11" ht="18" customHeight="1" x14ac:dyDescent="0.2">
      <c r="A20" s="35"/>
      <c r="B20" s="35"/>
      <c r="C20" s="35"/>
      <c r="D20" s="34"/>
      <c r="E20" s="34"/>
      <c r="F20" s="34"/>
      <c r="G20" s="34"/>
      <c r="H20" s="34"/>
      <c r="I20" s="34"/>
      <c r="J20" s="34"/>
      <c r="K20" s="34"/>
    </row>
    <row r="21" spans="1:11" ht="18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8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8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8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8" customHeight="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8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" customHeight="1" x14ac:dyDescent="0.2">
      <c r="A27" s="36"/>
      <c r="B27" s="37" t="s">
        <v>29</v>
      </c>
      <c r="C27" s="35"/>
      <c r="D27" s="34"/>
      <c r="E27" s="34"/>
      <c r="F27" s="34"/>
      <c r="G27" s="34"/>
      <c r="H27" s="34"/>
      <c r="I27" s="38"/>
      <c r="J27" s="39" t="s">
        <v>46</v>
      </c>
      <c r="K27" s="40">
        <f>IF('Daten Hektarerträge'!CA68=0,"k.A.",'Daten Hektarerträge'!CA67/'Daten Hektarerträge'!CA68)</f>
        <v>3.0624240129387141</v>
      </c>
    </row>
    <row r="28" spans="1:11" ht="18" customHeight="1" x14ac:dyDescent="0.2">
      <c r="A28" s="36"/>
      <c r="B28" s="37" t="s">
        <v>61</v>
      </c>
      <c r="C28" s="35"/>
      <c r="D28" s="34"/>
      <c r="E28" s="34"/>
      <c r="F28" s="34"/>
      <c r="G28" s="34"/>
      <c r="H28" s="34"/>
      <c r="I28" s="34"/>
      <c r="J28" s="34"/>
      <c r="K28" s="34"/>
    </row>
    <row r="29" spans="1:11" ht="18" customHeight="1" x14ac:dyDescent="0.2"/>
  </sheetData>
  <mergeCells count="3">
    <mergeCell ref="A1:K1"/>
    <mergeCell ref="A2:K2"/>
    <mergeCell ref="A4:K4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3</xdr:col>
                    <xdr:colOff>781050</xdr:colOff>
                    <xdr:row>3</xdr:row>
                    <xdr:rowOff>19050</xdr:rowOff>
                  </from>
                  <to>
                    <xdr:col>7</xdr:col>
                    <xdr:colOff>28575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68"/>
  <sheetViews>
    <sheetView zoomScale="85" zoomScaleNormal="85" workbookViewId="0">
      <pane xSplit="2" ySplit="2" topLeftCell="BA3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baseColWidth="10" defaultRowHeight="14.25" x14ac:dyDescent="0.2"/>
  <cols>
    <col min="1" max="1" width="2.875" bestFit="1" customWidth="1"/>
    <col min="2" max="2" width="19.125" style="9" bestFit="1" customWidth="1"/>
    <col min="3" max="3" width="5.75" style="9" customWidth="1"/>
    <col min="4" max="77" width="8.625" customWidth="1"/>
    <col min="78" max="78" width="8.625" hidden="1" customWidth="1"/>
  </cols>
  <sheetData>
    <row r="1" spans="1:79" s="15" customFormat="1" x14ac:dyDescent="0.2">
      <c r="A1" s="15">
        <f>COLUMNS($A$1:A1)</f>
        <v>1</v>
      </c>
      <c r="B1" s="15">
        <f>COLUMNS($A$1:B1)</f>
        <v>2</v>
      </c>
      <c r="C1" s="15">
        <f>COLUMNS($A$1:C1)</f>
        <v>3</v>
      </c>
      <c r="D1" s="15">
        <f>COLUMNS($A$1:D1)</f>
        <v>4</v>
      </c>
      <c r="E1" s="15">
        <f>COLUMNS($A$1:E1)</f>
        <v>5</v>
      </c>
      <c r="F1" s="15">
        <f>COLUMNS($A$1:F1)</f>
        <v>6</v>
      </c>
      <c r="G1" s="15">
        <f>COLUMNS($A$1:G1)</f>
        <v>7</v>
      </c>
      <c r="H1" s="15">
        <f>COLUMNS($A$1:H1)</f>
        <v>8</v>
      </c>
      <c r="I1" s="15">
        <f>COLUMNS($A$1:I1)</f>
        <v>9</v>
      </c>
      <c r="J1" s="15">
        <f>COLUMNS($A$1:J1)</f>
        <v>10</v>
      </c>
      <c r="K1" s="15">
        <f>COLUMNS($A$1:K1)</f>
        <v>11</v>
      </c>
      <c r="L1" s="15">
        <f>COLUMNS($A$1:L1)</f>
        <v>12</v>
      </c>
      <c r="M1" s="15">
        <f>COLUMNS($A$1:M1)</f>
        <v>13</v>
      </c>
      <c r="N1" s="15">
        <f>COLUMNS($A$1:N1)</f>
        <v>14</v>
      </c>
      <c r="O1" s="15">
        <f>COLUMNS($A$1:O1)</f>
        <v>15</v>
      </c>
      <c r="P1" s="15">
        <f>COLUMNS($A$1:P1)</f>
        <v>16</v>
      </c>
      <c r="Q1" s="15">
        <f>COLUMNS($A$1:Q1)</f>
        <v>17</v>
      </c>
      <c r="R1" s="15">
        <f>COLUMNS($A$1:R1)</f>
        <v>18</v>
      </c>
      <c r="S1" s="15">
        <f>COLUMNS($A$1:S1)</f>
        <v>19</v>
      </c>
      <c r="T1" s="15">
        <f>COLUMNS($A$1:T1)</f>
        <v>20</v>
      </c>
      <c r="U1" s="15">
        <f>COLUMNS($A$1:U1)</f>
        <v>21</v>
      </c>
      <c r="V1" s="15">
        <f>COLUMNS($A$1:V1)</f>
        <v>22</v>
      </c>
      <c r="W1" s="15">
        <f>COLUMNS($A$1:W1)</f>
        <v>23</v>
      </c>
      <c r="X1" s="15">
        <f>COLUMNS($A$1:X1)</f>
        <v>24</v>
      </c>
      <c r="Y1" s="15">
        <f>COLUMNS($A$1:Y1)</f>
        <v>25</v>
      </c>
      <c r="Z1" s="15">
        <f>COLUMNS($A$1:Z1)</f>
        <v>26</v>
      </c>
      <c r="AA1" s="15">
        <f>COLUMNS($A$1:AA1)</f>
        <v>27</v>
      </c>
      <c r="AB1" s="15">
        <f>COLUMNS($A$1:AB1)</f>
        <v>28</v>
      </c>
      <c r="AC1" s="15">
        <f>COLUMNS($A$1:AC1)</f>
        <v>29</v>
      </c>
      <c r="AD1" s="15">
        <f>COLUMNS($A$1:AD1)</f>
        <v>30</v>
      </c>
      <c r="AE1" s="15">
        <f>COLUMNS($A$1:AE1)</f>
        <v>31</v>
      </c>
      <c r="AF1" s="15">
        <f>COLUMNS($A$1:AF1)</f>
        <v>32</v>
      </c>
      <c r="AG1" s="15">
        <f>COLUMNS($A$1:AG1)</f>
        <v>33</v>
      </c>
      <c r="AH1" s="15">
        <f>COLUMNS($A$1:AH1)</f>
        <v>34</v>
      </c>
      <c r="AI1" s="15">
        <f>COLUMNS($A$1:AI1)</f>
        <v>35</v>
      </c>
      <c r="AJ1" s="15">
        <f>COLUMNS($A$1:AJ1)</f>
        <v>36</v>
      </c>
      <c r="AK1" s="15">
        <f>COLUMNS($A$1:AK1)</f>
        <v>37</v>
      </c>
      <c r="AL1" s="15">
        <f>COLUMNS($A$1:AL1)</f>
        <v>38</v>
      </c>
      <c r="AM1" s="15">
        <f>COLUMNS($A$1:AM1)</f>
        <v>39</v>
      </c>
      <c r="AN1" s="15">
        <f>COLUMNS($A$1:AN1)</f>
        <v>40</v>
      </c>
      <c r="AO1" s="15">
        <f>COLUMNS($A$1:AO1)</f>
        <v>41</v>
      </c>
      <c r="AP1" s="15">
        <f>COLUMNS($A$1:AP1)</f>
        <v>42</v>
      </c>
      <c r="AQ1" s="15">
        <f>COLUMNS($A$1:AQ1)</f>
        <v>43</v>
      </c>
      <c r="AR1" s="15">
        <f>COLUMNS($A$1:AR1)</f>
        <v>44</v>
      </c>
      <c r="AS1" s="15">
        <f>COLUMNS($A$1:AS1)</f>
        <v>45</v>
      </c>
      <c r="AT1" s="15">
        <f>COLUMNS($A$1:AT1)</f>
        <v>46</v>
      </c>
      <c r="AU1" s="15">
        <f>COLUMNS($A$1:AU1)</f>
        <v>47</v>
      </c>
      <c r="AV1" s="15">
        <f>COLUMNS($A$1:AV1)</f>
        <v>48</v>
      </c>
      <c r="AW1" s="15">
        <f>COLUMNS($A$1:AW1)</f>
        <v>49</v>
      </c>
      <c r="AX1" s="15">
        <f>COLUMNS($A$1:AX1)</f>
        <v>50</v>
      </c>
      <c r="AY1" s="15">
        <f>COLUMNS($A$1:AY1)</f>
        <v>51</v>
      </c>
      <c r="AZ1" s="15">
        <f>COLUMNS($A$1:AZ1)</f>
        <v>52</v>
      </c>
      <c r="BA1" s="15">
        <f>COLUMNS($A$1:BA1)</f>
        <v>53</v>
      </c>
      <c r="BB1" s="15">
        <f>COLUMNS($A$1:BB1)</f>
        <v>54</v>
      </c>
      <c r="BC1" s="15">
        <f>COLUMNS($A$1:BC1)</f>
        <v>55</v>
      </c>
      <c r="BD1" s="15">
        <f>COLUMNS($A$1:BD1)</f>
        <v>56</v>
      </c>
      <c r="BE1" s="15">
        <f>COLUMNS($A$1:BE1)</f>
        <v>57</v>
      </c>
      <c r="BF1" s="15">
        <f>COLUMNS($A$1:BF1)</f>
        <v>58</v>
      </c>
      <c r="BG1" s="15">
        <f>COLUMNS($A$1:BG1)</f>
        <v>59</v>
      </c>
      <c r="BH1" s="15">
        <f>COLUMNS($A$1:BH1)</f>
        <v>60</v>
      </c>
      <c r="BI1" s="15">
        <f>COLUMNS($A$1:BI1)</f>
        <v>61</v>
      </c>
      <c r="BJ1" s="15">
        <f>COLUMNS($A$1:BJ1)</f>
        <v>62</v>
      </c>
      <c r="BK1" s="15">
        <f>COLUMNS($A$1:BK1)</f>
        <v>63</v>
      </c>
      <c r="BL1" s="15">
        <f>COLUMNS($A$1:BL1)</f>
        <v>64</v>
      </c>
      <c r="BM1" s="15">
        <f>COLUMNS($A$1:BM1)</f>
        <v>65</v>
      </c>
      <c r="BN1" s="15">
        <f>COLUMNS($A$1:BN1)</f>
        <v>66</v>
      </c>
      <c r="BO1" s="15">
        <f>COLUMNS($A$1:BO1)</f>
        <v>67</v>
      </c>
      <c r="BP1" s="15">
        <f>COLUMNS($A$1:BP1)</f>
        <v>68</v>
      </c>
      <c r="BQ1" s="15">
        <f>COLUMNS($A$1:BQ1)</f>
        <v>69</v>
      </c>
      <c r="BR1" s="15">
        <f>COLUMNS($A$1:BR1)</f>
        <v>70</v>
      </c>
      <c r="BS1" s="15">
        <f>COLUMNS($A$1:BS1)</f>
        <v>71</v>
      </c>
      <c r="BT1" s="15">
        <f>COLUMNS($A$1:BT1)</f>
        <v>72</v>
      </c>
      <c r="BU1" s="15">
        <f>COLUMNS($A$1:BU1)</f>
        <v>73</v>
      </c>
      <c r="BV1" s="15">
        <f>COLUMNS($A$1:BV1)</f>
        <v>74</v>
      </c>
      <c r="BW1" s="15">
        <f>COLUMNS($A$1:BW1)</f>
        <v>75</v>
      </c>
      <c r="BX1" s="15">
        <f>COLUMNS($A$1:BX1)</f>
        <v>76</v>
      </c>
      <c r="BY1" s="15">
        <f>COLUMNS($A$1:BY1)</f>
        <v>77</v>
      </c>
      <c r="BZ1" s="15">
        <f>COLUMNS($A$1:BZ1)</f>
        <v>78</v>
      </c>
      <c r="CA1" s="22" t="s">
        <v>35</v>
      </c>
    </row>
    <row r="2" spans="1:79" ht="15" thickBot="1" x14ac:dyDescent="0.25">
      <c r="B2" s="12" t="s">
        <v>14</v>
      </c>
      <c r="C2" s="10"/>
      <c r="D2" s="11">
        <v>1938</v>
      </c>
      <c r="E2" s="11">
        <v>1949</v>
      </c>
      <c r="F2" s="11">
        <v>1950</v>
      </c>
      <c r="G2" s="11">
        <v>1951</v>
      </c>
      <c r="H2" s="11">
        <v>1952</v>
      </c>
      <c r="I2" s="11">
        <v>1953</v>
      </c>
      <c r="J2" s="11">
        <v>1954</v>
      </c>
      <c r="K2" s="11">
        <v>1955</v>
      </c>
      <c r="L2" s="11">
        <v>1956</v>
      </c>
      <c r="M2" s="11">
        <v>1957</v>
      </c>
      <c r="N2" s="11">
        <v>1958</v>
      </c>
      <c r="O2" s="11">
        <v>1959</v>
      </c>
      <c r="P2" s="11">
        <v>1960</v>
      </c>
      <c r="Q2" s="11">
        <v>1961</v>
      </c>
      <c r="R2" s="11">
        <v>1962</v>
      </c>
      <c r="S2" s="11">
        <v>1963</v>
      </c>
      <c r="T2" s="11">
        <v>1964</v>
      </c>
      <c r="U2" s="11">
        <v>1965</v>
      </c>
      <c r="V2" s="11">
        <v>1966</v>
      </c>
      <c r="W2" s="11">
        <v>1967</v>
      </c>
      <c r="X2" s="11">
        <v>1968</v>
      </c>
      <c r="Y2" s="11">
        <v>1969</v>
      </c>
      <c r="Z2" s="11">
        <v>1970</v>
      </c>
      <c r="AA2" s="11">
        <v>1971</v>
      </c>
      <c r="AB2" s="11">
        <v>1972</v>
      </c>
      <c r="AC2" s="11">
        <v>1973</v>
      </c>
      <c r="AD2" s="11">
        <v>1974</v>
      </c>
      <c r="AE2" s="11">
        <v>1975</v>
      </c>
      <c r="AF2" s="11">
        <v>1976</v>
      </c>
      <c r="AG2" s="11">
        <v>1977</v>
      </c>
      <c r="AH2" s="11">
        <v>1978</v>
      </c>
      <c r="AI2" s="11">
        <v>1979</v>
      </c>
      <c r="AJ2" s="11">
        <v>1980</v>
      </c>
      <c r="AK2" s="11">
        <v>1981</v>
      </c>
      <c r="AL2" s="11">
        <v>1982</v>
      </c>
      <c r="AM2" s="11">
        <v>1983</v>
      </c>
      <c r="AN2" s="11">
        <v>1984</v>
      </c>
      <c r="AO2" s="11">
        <v>1985</v>
      </c>
      <c r="AP2" s="11">
        <v>1986</v>
      </c>
      <c r="AQ2" s="11">
        <v>1987</v>
      </c>
      <c r="AR2" s="11">
        <v>1988</v>
      </c>
      <c r="AS2" s="11">
        <v>1989</v>
      </c>
      <c r="AT2" s="11">
        <v>1990</v>
      </c>
      <c r="AU2" s="11">
        <v>1991</v>
      </c>
      <c r="AV2" s="11">
        <v>1992</v>
      </c>
      <c r="AW2" s="11">
        <v>1993</v>
      </c>
      <c r="AX2" s="11">
        <v>1994</v>
      </c>
      <c r="AY2" s="11">
        <v>1995</v>
      </c>
      <c r="AZ2" s="11">
        <v>1996</v>
      </c>
      <c r="BA2" s="11">
        <v>1997</v>
      </c>
      <c r="BB2" s="11">
        <v>1998</v>
      </c>
      <c r="BC2" s="11">
        <v>1999</v>
      </c>
      <c r="BD2" s="11">
        <v>2000</v>
      </c>
      <c r="BE2" s="11">
        <v>2001</v>
      </c>
      <c r="BF2" s="11">
        <v>2002</v>
      </c>
      <c r="BG2" s="11">
        <v>2003</v>
      </c>
      <c r="BH2" s="11">
        <v>2004</v>
      </c>
      <c r="BI2" s="11">
        <v>2005</v>
      </c>
      <c r="BJ2" s="11">
        <v>2006</v>
      </c>
      <c r="BK2" s="11">
        <v>2007</v>
      </c>
      <c r="BL2" s="11">
        <v>2008</v>
      </c>
      <c r="BM2" s="11">
        <v>2009</v>
      </c>
      <c r="BN2" s="11">
        <v>2010</v>
      </c>
      <c r="BO2" s="11">
        <v>2011</v>
      </c>
      <c r="BP2" s="11">
        <v>2012</v>
      </c>
      <c r="BQ2" s="11">
        <v>2013</v>
      </c>
      <c r="BR2" s="11">
        <v>2014</v>
      </c>
      <c r="BS2" s="11">
        <v>2015</v>
      </c>
      <c r="BT2" s="11">
        <v>2016</v>
      </c>
      <c r="BU2" s="11">
        <v>2017</v>
      </c>
      <c r="BV2" s="11">
        <v>2018</v>
      </c>
      <c r="BW2" s="11">
        <v>2019</v>
      </c>
      <c r="BX2" s="11">
        <v>2020</v>
      </c>
      <c r="BY2" s="11">
        <v>2021</v>
      </c>
      <c r="BZ2" s="11">
        <v>2022</v>
      </c>
      <c r="CA2" s="23"/>
    </row>
    <row r="3" spans="1:79" x14ac:dyDescent="0.2">
      <c r="A3">
        <v>1</v>
      </c>
      <c r="B3" s="13" t="s">
        <v>13</v>
      </c>
      <c r="C3" s="8" t="s">
        <v>31</v>
      </c>
      <c r="D3" s="1">
        <v>21.1</v>
      </c>
      <c r="E3" s="1">
        <f>(5554449+2133245+1355760)/(266121+126434+78303)</f>
        <v>19.206329721487158</v>
      </c>
      <c r="F3" s="1">
        <v>22.6</v>
      </c>
      <c r="G3" s="1">
        <v>24</v>
      </c>
      <c r="H3" s="1">
        <v>22.1</v>
      </c>
      <c r="I3" s="1">
        <v>22.9</v>
      </c>
      <c r="J3" s="1">
        <v>26.8</v>
      </c>
      <c r="K3" s="1">
        <v>24.4</v>
      </c>
      <c r="L3" s="1">
        <v>26.2</v>
      </c>
      <c r="M3" s="1">
        <v>27.3</v>
      </c>
      <c r="N3" s="1">
        <v>26.4</v>
      </c>
      <c r="O3" s="1">
        <v>28.9</v>
      </c>
      <c r="P3" s="1">
        <v>31.2</v>
      </c>
      <c r="Q3" s="1">
        <v>26.2</v>
      </c>
      <c r="R3" s="1">
        <v>33.1</v>
      </c>
      <c r="S3" s="1">
        <v>30.7</v>
      </c>
      <c r="T3" s="1">
        <v>32.799999999999997</v>
      </c>
      <c r="U3" s="1">
        <v>26.7</v>
      </c>
      <c r="V3" s="1">
        <v>31.2</v>
      </c>
      <c r="W3" s="1">
        <v>37.299999999999997</v>
      </c>
      <c r="X3" s="1">
        <v>34.9</v>
      </c>
      <c r="Y3" s="1">
        <v>35.200000000000003</v>
      </c>
      <c r="Z3" s="1">
        <v>32.200000000000003</v>
      </c>
      <c r="AA3" s="2">
        <v>40.9</v>
      </c>
      <c r="AB3" s="1">
        <v>37.799999999999997</v>
      </c>
      <c r="AC3" s="1">
        <v>40.5</v>
      </c>
      <c r="AD3" s="1">
        <v>42.6</v>
      </c>
      <c r="AE3" s="1">
        <v>38</v>
      </c>
      <c r="AF3" s="1">
        <v>37.200000000000003</v>
      </c>
      <c r="AG3" s="1">
        <v>40</v>
      </c>
      <c r="AH3" s="1">
        <v>42.6</v>
      </c>
      <c r="AI3" s="1">
        <v>44.5</v>
      </c>
      <c r="AJ3" s="1">
        <v>42.9</v>
      </c>
      <c r="AK3" s="1">
        <v>45.5</v>
      </c>
      <c r="AL3" s="1">
        <v>46.5</v>
      </c>
      <c r="AM3" s="1">
        <v>43.4</v>
      </c>
      <c r="AN3" s="1">
        <v>51.3</v>
      </c>
      <c r="AO3" s="1">
        <v>52.2</v>
      </c>
      <c r="AP3" s="1">
        <v>45.1</v>
      </c>
      <c r="AQ3" s="1">
        <v>46.6</v>
      </c>
      <c r="AR3" s="1">
        <v>57.1</v>
      </c>
      <c r="AS3" s="1">
        <v>55.1</v>
      </c>
      <c r="AT3" s="1">
        <v>56.9</v>
      </c>
      <c r="AU3" s="1">
        <v>60.9</v>
      </c>
      <c r="AV3" s="1">
        <v>57</v>
      </c>
      <c r="AW3" s="1">
        <v>61.1</v>
      </c>
      <c r="AX3" s="1">
        <v>55</v>
      </c>
      <c r="AY3" s="1">
        <v>52.7</v>
      </c>
      <c r="AZ3" s="1">
        <v>66.3</v>
      </c>
      <c r="BA3" s="1">
        <v>63.3</v>
      </c>
      <c r="BB3" s="1">
        <v>66.5</v>
      </c>
      <c r="BC3" s="1">
        <v>60.3</v>
      </c>
      <c r="BD3" s="1">
        <v>66.5</v>
      </c>
      <c r="BE3" s="1">
        <v>65.099999999999994</v>
      </c>
      <c r="BF3" s="1">
        <v>65.2</v>
      </c>
      <c r="BG3" s="1">
        <v>57</v>
      </c>
      <c r="BH3" s="1">
        <v>71.400000000000006</v>
      </c>
      <c r="BI3" s="1">
        <v>63.8</v>
      </c>
      <c r="BJ3" s="1">
        <v>66.599999999999994</v>
      </c>
      <c r="BK3" s="1">
        <v>66.099999999999994</v>
      </c>
      <c r="BL3" s="1">
        <v>70.400000000000006</v>
      </c>
      <c r="BM3" s="1">
        <v>72.3</v>
      </c>
      <c r="BN3" s="1">
        <v>68.400000000000006</v>
      </c>
      <c r="BO3" s="1">
        <v>71</v>
      </c>
      <c r="BP3" s="1">
        <f>36909724/517300</f>
        <v>71.350713319157165</v>
      </c>
      <c r="BQ3" s="1">
        <f>(37807990-6892215)/(526800-72100)</f>
        <v>67.991587860127552</v>
      </c>
      <c r="BR3" s="1">
        <v>73.599999999999994</v>
      </c>
      <c r="BS3" s="1">
        <v>70.5</v>
      </c>
      <c r="BT3" s="1">
        <v>68.2</v>
      </c>
      <c r="BU3" s="29">
        <v>77.400000000000006</v>
      </c>
      <c r="BV3" s="29">
        <v>72.400000000000006</v>
      </c>
      <c r="BW3" s="29">
        <v>75.7</v>
      </c>
      <c r="BX3" s="29">
        <v>73.8</v>
      </c>
      <c r="BY3" s="29">
        <v>70.5</v>
      </c>
      <c r="BZ3" s="29"/>
      <c r="CA3" s="24">
        <f>SUM(D3:BY3)</f>
        <v>3618.4486309007721</v>
      </c>
    </row>
    <row r="4" spans="1:79" x14ac:dyDescent="0.2">
      <c r="A4">
        <v>2</v>
      </c>
      <c r="B4" s="13" t="s">
        <v>16</v>
      </c>
      <c r="C4" s="8" t="s">
        <v>31</v>
      </c>
      <c r="D4" s="1">
        <v>21.7</v>
      </c>
      <c r="E4" s="1">
        <f>(3084301+1180277+838740)/(140702+63635+44917)</f>
        <v>20.474367512657771</v>
      </c>
      <c r="F4" s="1">
        <v>23.9</v>
      </c>
      <c r="G4" s="1">
        <v>24.6</v>
      </c>
      <c r="H4" s="1">
        <v>23.2</v>
      </c>
      <c r="I4" s="1">
        <v>23.8</v>
      </c>
      <c r="J4" s="1">
        <v>27.2</v>
      </c>
      <c r="K4" s="1">
        <v>25.2</v>
      </c>
      <c r="L4" s="1">
        <v>28.4</v>
      </c>
      <c r="M4" s="1">
        <v>29.3</v>
      </c>
      <c r="N4" s="1">
        <v>27.5</v>
      </c>
      <c r="O4" s="1">
        <v>31.1</v>
      </c>
      <c r="P4" s="1">
        <v>33.5</v>
      </c>
      <c r="Q4" s="1">
        <v>28.4</v>
      </c>
      <c r="R4" s="1">
        <v>33.4</v>
      </c>
      <c r="S4" s="1">
        <v>33.4</v>
      </c>
      <c r="T4" s="1">
        <v>33.799999999999997</v>
      </c>
      <c r="U4" s="1">
        <v>28.8</v>
      </c>
      <c r="V4" s="1">
        <v>32.9</v>
      </c>
      <c r="W4" s="1">
        <v>41</v>
      </c>
      <c r="X4" s="1">
        <v>37.9</v>
      </c>
      <c r="Y4" s="1">
        <v>36.6</v>
      </c>
      <c r="Z4" s="1">
        <v>32.9</v>
      </c>
      <c r="AA4" s="2">
        <v>44.8</v>
      </c>
      <c r="AB4" s="1">
        <v>37.799999999999997</v>
      </c>
      <c r="AC4" s="1">
        <v>41.4</v>
      </c>
      <c r="AD4" s="1">
        <v>44.1</v>
      </c>
      <c r="AE4" s="1">
        <v>38.6</v>
      </c>
      <c r="AF4" s="1">
        <v>39.299999999999997</v>
      </c>
      <c r="AG4" s="1">
        <v>39.9</v>
      </c>
      <c r="AH4" s="1">
        <v>43.5</v>
      </c>
      <c r="AI4" s="1">
        <v>46.5</v>
      </c>
      <c r="AJ4" s="1">
        <v>44.6</v>
      </c>
      <c r="AK4" s="1">
        <v>48.6</v>
      </c>
      <c r="AL4" s="1">
        <v>48.9</v>
      </c>
      <c r="AM4" s="1">
        <v>46.3</v>
      </c>
      <c r="AN4" s="1">
        <v>56.6</v>
      </c>
      <c r="AO4" s="1">
        <v>55.3</v>
      </c>
      <c r="AP4" s="1">
        <v>49</v>
      </c>
      <c r="AQ4" s="1">
        <v>48</v>
      </c>
      <c r="AR4" s="1">
        <v>60.7</v>
      </c>
      <c r="AS4" s="1">
        <v>59.5</v>
      </c>
      <c r="AT4" s="1">
        <v>59.8</v>
      </c>
      <c r="AU4" s="1">
        <v>66.099999999999994</v>
      </c>
      <c r="AV4" s="1">
        <v>61</v>
      </c>
      <c r="AW4" s="1">
        <v>63.8</v>
      </c>
      <c r="AX4" s="1">
        <v>59.1</v>
      </c>
      <c r="AY4" s="1">
        <v>54.6</v>
      </c>
      <c r="AZ4" s="1">
        <v>72.400000000000006</v>
      </c>
      <c r="BA4" s="1">
        <v>65.7</v>
      </c>
      <c r="BB4" s="1">
        <v>71.400000000000006</v>
      </c>
      <c r="BC4" s="1">
        <v>62.3</v>
      </c>
      <c r="BD4" s="1">
        <v>68.5</v>
      </c>
      <c r="BE4" s="1">
        <v>69.2</v>
      </c>
      <c r="BF4" s="1">
        <v>67.3</v>
      </c>
      <c r="BG4" s="1">
        <v>58.6</v>
      </c>
      <c r="BH4" s="1">
        <v>76.7</v>
      </c>
      <c r="BI4" s="1">
        <v>67.8</v>
      </c>
      <c r="BJ4" s="1">
        <v>72.5</v>
      </c>
      <c r="BK4" s="1">
        <v>71.099999999999994</v>
      </c>
      <c r="BL4" s="1">
        <v>73.5</v>
      </c>
      <c r="BM4" s="1">
        <v>72.599999999999994</v>
      </c>
      <c r="BN4" s="1">
        <v>68.2</v>
      </c>
      <c r="BO4" s="1">
        <v>68.599999999999994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/>
      <c r="CA4" s="24">
        <f t="shared" ref="CA4:CA39" si="0">SUM(D4:BY4)</f>
        <v>3043.1743675126568</v>
      </c>
    </row>
    <row r="5" spans="1:79" x14ac:dyDescent="0.2">
      <c r="A5">
        <v>3</v>
      </c>
      <c r="B5" s="13" t="s">
        <v>17</v>
      </c>
      <c r="C5" s="8" t="s">
        <v>31</v>
      </c>
      <c r="D5" s="1">
        <v>20.399999999999999</v>
      </c>
      <c r="E5" s="1">
        <f>(2470148+952968+517020)/(125419+62799+33386)</f>
        <v>17.780076171910256</v>
      </c>
      <c r="F5" s="1">
        <v>20.9</v>
      </c>
      <c r="G5" s="1">
        <v>23.3</v>
      </c>
      <c r="H5" s="1">
        <v>20.8</v>
      </c>
      <c r="I5" s="1">
        <v>21.9</v>
      </c>
      <c r="J5" s="1">
        <v>26.4</v>
      </c>
      <c r="K5" s="1">
        <v>23.5</v>
      </c>
      <c r="L5" s="1">
        <v>24.3</v>
      </c>
      <c r="M5" s="1">
        <v>25.2</v>
      </c>
      <c r="N5" s="1">
        <v>25.1</v>
      </c>
      <c r="O5" s="1">
        <v>26.4</v>
      </c>
      <c r="P5" s="1">
        <v>28.8</v>
      </c>
      <c r="Q5" s="1">
        <v>23.9</v>
      </c>
      <c r="R5" s="1">
        <v>33</v>
      </c>
      <c r="S5" s="1">
        <v>28.3</v>
      </c>
      <c r="T5" s="1">
        <v>31.7</v>
      </c>
      <c r="U5" s="1">
        <v>24.5</v>
      </c>
      <c r="V5" s="1">
        <v>29.6</v>
      </c>
      <c r="W5" s="1">
        <v>33.9</v>
      </c>
      <c r="X5" s="1">
        <v>32.299999999999997</v>
      </c>
      <c r="Y5" s="1">
        <v>34</v>
      </c>
      <c r="Z5" s="1">
        <v>31.6</v>
      </c>
      <c r="AA5" s="2">
        <v>37.6</v>
      </c>
      <c r="AB5" s="1">
        <v>37.700000000000003</v>
      </c>
      <c r="AC5" s="1">
        <v>39.799999999999997</v>
      </c>
      <c r="AD5" s="1">
        <v>41.4</v>
      </c>
      <c r="AE5" s="1">
        <v>37.5</v>
      </c>
      <c r="AF5" s="1">
        <v>35.4</v>
      </c>
      <c r="AG5" s="1">
        <v>40.1</v>
      </c>
      <c r="AH5" s="1">
        <v>42</v>
      </c>
      <c r="AI5" s="1">
        <v>43.1</v>
      </c>
      <c r="AJ5" s="1">
        <v>41.6</v>
      </c>
      <c r="AK5" s="1">
        <v>43.3</v>
      </c>
      <c r="AL5" s="1">
        <v>44.9</v>
      </c>
      <c r="AM5" s="1">
        <v>41.3</v>
      </c>
      <c r="AN5" s="1">
        <v>47.4</v>
      </c>
      <c r="AO5" s="1">
        <v>50</v>
      </c>
      <c r="AP5" s="1">
        <v>42.3</v>
      </c>
      <c r="AQ5" s="1">
        <v>45.5</v>
      </c>
      <c r="AR5" s="1">
        <v>54.6</v>
      </c>
      <c r="AS5" s="1">
        <v>52</v>
      </c>
      <c r="AT5" s="1">
        <v>54.8</v>
      </c>
      <c r="AU5" s="1">
        <v>57.1</v>
      </c>
      <c r="AV5" s="1">
        <v>54</v>
      </c>
      <c r="AW5" s="1">
        <v>59.1</v>
      </c>
      <c r="AX5" s="1">
        <v>52.1</v>
      </c>
      <c r="AY5" s="1">
        <v>51.3</v>
      </c>
      <c r="AZ5" s="1">
        <v>62</v>
      </c>
      <c r="BA5" s="1">
        <v>61.6</v>
      </c>
      <c r="BB5" s="1">
        <v>62.9</v>
      </c>
      <c r="BC5" s="1">
        <v>58.9</v>
      </c>
      <c r="BD5" s="1">
        <v>64.900000000000006</v>
      </c>
      <c r="BE5" s="1">
        <v>62.2</v>
      </c>
      <c r="BF5" s="1">
        <v>63.6</v>
      </c>
      <c r="BG5" s="1">
        <v>55.9</v>
      </c>
      <c r="BH5" s="1">
        <v>67.599999999999994</v>
      </c>
      <c r="BI5" s="1">
        <v>60.9</v>
      </c>
      <c r="BJ5" s="1">
        <v>62.2</v>
      </c>
      <c r="BK5" s="1">
        <v>62.3</v>
      </c>
      <c r="BL5" s="1">
        <v>68</v>
      </c>
      <c r="BM5" s="1">
        <v>72.099999999999994</v>
      </c>
      <c r="BN5" s="1">
        <v>68.599999999999994</v>
      </c>
      <c r="BO5" s="1">
        <v>73.2</v>
      </c>
      <c r="BP5" s="1" t="s">
        <v>0</v>
      </c>
      <c r="BQ5" s="1" t="s">
        <v>0</v>
      </c>
      <c r="BR5" s="1" t="s">
        <v>0</v>
      </c>
      <c r="BS5" s="1" t="s">
        <v>0</v>
      </c>
      <c r="BT5" s="1" t="s">
        <v>0</v>
      </c>
      <c r="BU5" s="1" t="s">
        <v>0</v>
      </c>
      <c r="BV5" s="1" t="s">
        <v>0</v>
      </c>
      <c r="BW5" s="1" t="s">
        <v>0</v>
      </c>
      <c r="BX5" s="1" t="s">
        <v>0</v>
      </c>
      <c r="BY5" s="1" t="s">
        <v>0</v>
      </c>
      <c r="BZ5" s="1"/>
      <c r="CA5" s="24">
        <f t="shared" si="0"/>
        <v>2780.3800761719094</v>
      </c>
    </row>
    <row r="6" spans="1:79" x14ac:dyDescent="0.2">
      <c r="A6">
        <v>4</v>
      </c>
      <c r="B6" s="13" t="s">
        <v>18</v>
      </c>
      <c r="C6" s="8" t="s">
        <v>31</v>
      </c>
      <c r="D6" s="1">
        <v>23.7</v>
      </c>
      <c r="E6" s="1">
        <f>(2236327+722603+447900)/(96855+37139+22191)</f>
        <v>21.812786119025514</v>
      </c>
      <c r="F6" s="1">
        <v>24.3</v>
      </c>
      <c r="G6" s="1">
        <v>25.3</v>
      </c>
      <c r="H6" s="1">
        <v>23.9</v>
      </c>
      <c r="I6" s="1">
        <v>24.8</v>
      </c>
      <c r="J6" s="1">
        <v>27.2</v>
      </c>
      <c r="K6" s="1">
        <v>26.5</v>
      </c>
      <c r="L6" s="1">
        <v>29.6</v>
      </c>
      <c r="M6" s="1">
        <v>30.7</v>
      </c>
      <c r="N6" s="1">
        <v>27.9</v>
      </c>
      <c r="O6" s="1">
        <v>32.200000000000003</v>
      </c>
      <c r="P6" s="1">
        <v>34.4</v>
      </c>
      <c r="Q6" s="1">
        <v>29.3</v>
      </c>
      <c r="R6" s="1">
        <v>33.799999999999997</v>
      </c>
      <c r="S6" s="1">
        <v>34.4</v>
      </c>
      <c r="T6" s="1">
        <v>34.5</v>
      </c>
      <c r="U6" s="1">
        <v>29.8</v>
      </c>
      <c r="V6" s="1">
        <v>33.9</v>
      </c>
      <c r="W6" s="1">
        <v>42.6</v>
      </c>
      <c r="X6" s="1">
        <v>39</v>
      </c>
      <c r="Y6" s="1">
        <v>37.6</v>
      </c>
      <c r="Z6" s="1">
        <v>33.5</v>
      </c>
      <c r="AA6" s="2">
        <v>45.9</v>
      </c>
      <c r="AB6" s="1">
        <v>38.6</v>
      </c>
      <c r="AC6" s="1">
        <v>42.3</v>
      </c>
      <c r="AD6" s="1">
        <v>45.3</v>
      </c>
      <c r="AE6" s="1">
        <v>39.200000000000003</v>
      </c>
      <c r="AF6" s="1">
        <v>40.799999999999997</v>
      </c>
      <c r="AG6" s="1">
        <v>40.799999999999997</v>
      </c>
      <c r="AH6" s="1">
        <v>45.2</v>
      </c>
      <c r="AI6" s="1">
        <v>47.8</v>
      </c>
      <c r="AJ6" s="1">
        <v>45.8</v>
      </c>
      <c r="AK6" s="1">
        <v>49.9</v>
      </c>
      <c r="AL6" s="1">
        <v>50</v>
      </c>
      <c r="AM6" s="1">
        <v>47.5</v>
      </c>
      <c r="AN6" s="1">
        <v>57.8</v>
      </c>
      <c r="AO6" s="1">
        <v>56.7</v>
      </c>
      <c r="AP6" s="1">
        <v>50.3</v>
      </c>
      <c r="AQ6" s="1">
        <v>49</v>
      </c>
      <c r="AR6" s="1">
        <v>62.5</v>
      </c>
      <c r="AS6" s="1">
        <v>61.1</v>
      </c>
      <c r="AT6" s="1">
        <v>61.2</v>
      </c>
      <c r="AU6" s="1">
        <v>67.900000000000006</v>
      </c>
      <c r="AV6" s="1">
        <v>62.2</v>
      </c>
      <c r="AW6" s="1">
        <v>65.3</v>
      </c>
      <c r="AX6" s="1">
        <v>60.4</v>
      </c>
      <c r="AY6" s="1">
        <v>55.4</v>
      </c>
      <c r="AZ6" s="1">
        <v>73.8</v>
      </c>
      <c r="BA6" s="1">
        <v>67.7</v>
      </c>
      <c r="BB6" s="1">
        <v>72.7</v>
      </c>
      <c r="BC6" s="1">
        <v>63.3</v>
      </c>
      <c r="BD6" s="1">
        <v>69.599999999999994</v>
      </c>
      <c r="BE6" s="1">
        <v>70.2</v>
      </c>
      <c r="BF6" s="1">
        <v>68.2</v>
      </c>
      <c r="BG6" s="1">
        <v>59.7</v>
      </c>
      <c r="BH6" s="1">
        <v>77.7</v>
      </c>
      <c r="BI6" s="1">
        <v>68.8</v>
      </c>
      <c r="BJ6" s="1">
        <v>73.5</v>
      </c>
      <c r="BK6" s="1">
        <v>72.3</v>
      </c>
      <c r="BL6" s="1">
        <v>74.400000000000006</v>
      </c>
      <c r="BM6" s="1">
        <v>73.5</v>
      </c>
      <c r="BN6" s="1">
        <v>69</v>
      </c>
      <c r="BO6" s="1">
        <v>69.8</v>
      </c>
      <c r="BP6" s="1">
        <v>68.3</v>
      </c>
      <c r="BQ6" s="1">
        <f>17267087/232900</f>
        <v>74.139489051094884</v>
      </c>
      <c r="BR6" s="1">
        <v>80.5</v>
      </c>
      <c r="BS6" s="1">
        <v>76.3</v>
      </c>
      <c r="BT6" s="1">
        <v>67.8</v>
      </c>
      <c r="BU6" s="29">
        <v>77.8</v>
      </c>
      <c r="BV6" s="29">
        <v>76</v>
      </c>
      <c r="BW6" s="29">
        <v>76.2</v>
      </c>
      <c r="BX6" s="29">
        <v>80.7</v>
      </c>
      <c r="BY6" s="29">
        <v>66.8</v>
      </c>
      <c r="BZ6" s="29"/>
      <c r="CA6" s="24">
        <f t="shared" si="0"/>
        <v>3858.3522751701207</v>
      </c>
    </row>
    <row r="7" spans="1:79" x14ac:dyDescent="0.2">
      <c r="A7">
        <v>5</v>
      </c>
      <c r="B7" s="13" t="s">
        <v>6</v>
      </c>
      <c r="C7" s="8" t="s">
        <v>31</v>
      </c>
      <c r="D7" s="1">
        <f>(1196220+62090)/(60685+4044)</f>
        <v>19.43966382919557</v>
      </c>
      <c r="E7" s="1">
        <f>(507855+217503+225860+10257+8264+10510)/(25142+11368+13302+669+563+880)</f>
        <v>18.878534011247208</v>
      </c>
      <c r="F7" s="1">
        <v>22.7</v>
      </c>
      <c r="G7" s="1">
        <v>22.2</v>
      </c>
      <c r="H7" s="1">
        <v>21</v>
      </c>
      <c r="I7" s="1">
        <v>20.7</v>
      </c>
      <c r="J7" s="1">
        <v>28.1</v>
      </c>
      <c r="K7" s="1">
        <v>20.5</v>
      </c>
      <c r="L7" s="1">
        <v>24.2</v>
      </c>
      <c r="M7" s="1">
        <v>23.5</v>
      </c>
      <c r="N7" s="1">
        <v>25.4</v>
      </c>
      <c r="O7" s="1">
        <v>25</v>
      </c>
      <c r="P7" s="1">
        <v>28.3</v>
      </c>
      <c r="Q7" s="1">
        <v>22.7</v>
      </c>
      <c r="R7" s="1">
        <v>28.6</v>
      </c>
      <c r="S7" s="1">
        <v>26.9</v>
      </c>
      <c r="T7" s="1">
        <v>30.4</v>
      </c>
      <c r="U7" s="1">
        <v>23.1</v>
      </c>
      <c r="V7" s="1">
        <v>26.4</v>
      </c>
      <c r="W7" s="1">
        <v>30.2</v>
      </c>
      <c r="X7" s="1">
        <v>29.7</v>
      </c>
      <c r="Y7" s="1">
        <v>27.4</v>
      </c>
      <c r="Z7" s="1">
        <v>27.2</v>
      </c>
      <c r="AA7" s="2">
        <v>35.200000000000003</v>
      </c>
      <c r="AB7" s="1">
        <v>33.9</v>
      </c>
      <c r="AC7" s="1">
        <v>32.299999999999997</v>
      </c>
      <c r="AD7" s="1">
        <v>33.5</v>
      </c>
      <c r="AE7" s="1">
        <v>32.5</v>
      </c>
      <c r="AF7" s="1">
        <v>29.2</v>
      </c>
      <c r="AG7" s="1">
        <v>34.799999999999997</v>
      </c>
      <c r="AH7" s="1">
        <v>36</v>
      </c>
      <c r="AI7" s="1">
        <v>36.5</v>
      </c>
      <c r="AJ7" s="1">
        <v>37.1</v>
      </c>
      <c r="AK7" s="1">
        <v>36.4</v>
      </c>
      <c r="AL7" s="1">
        <v>39.1</v>
      </c>
      <c r="AM7" s="1">
        <v>38</v>
      </c>
      <c r="AN7" s="1">
        <v>45.3</v>
      </c>
      <c r="AO7" s="1">
        <v>42.9</v>
      </c>
      <c r="AP7" s="1">
        <v>39.1</v>
      </c>
      <c r="AQ7" s="4">
        <v>39.4</v>
      </c>
      <c r="AR7" s="4">
        <v>45.4</v>
      </c>
      <c r="AS7" s="4">
        <v>45.9</v>
      </c>
      <c r="AT7" s="4">
        <v>48.1</v>
      </c>
      <c r="AU7" s="4">
        <v>49.6</v>
      </c>
      <c r="AV7" s="4">
        <v>49.9</v>
      </c>
      <c r="AW7" s="4">
        <v>51</v>
      </c>
      <c r="AX7" s="4">
        <v>48.1</v>
      </c>
      <c r="AY7" s="4">
        <v>47</v>
      </c>
      <c r="AZ7" s="4">
        <v>56.6</v>
      </c>
      <c r="BA7" s="4">
        <v>54</v>
      </c>
      <c r="BB7" s="4">
        <v>56.5</v>
      </c>
      <c r="BC7" s="4">
        <v>52.4</v>
      </c>
      <c r="BD7" s="1">
        <v>53.8</v>
      </c>
      <c r="BE7" s="1">
        <v>56.3</v>
      </c>
      <c r="BF7" s="1">
        <f>479821/8944</f>
        <v>53.647249552772806</v>
      </c>
      <c r="BG7" s="1">
        <f>301722/6692</f>
        <v>45.086969515839812</v>
      </c>
      <c r="BH7" s="1">
        <f>435238/7400</f>
        <v>58.815945945945948</v>
      </c>
      <c r="BI7" s="1">
        <f>384596/7200</f>
        <v>53.416111111111114</v>
      </c>
      <c r="BJ7" s="1">
        <f>424029/7684</f>
        <v>55.183368037480477</v>
      </c>
      <c r="BK7" s="1">
        <f>498721/9400</f>
        <v>53.055425531914892</v>
      </c>
      <c r="BL7" s="1">
        <f>587538/10000</f>
        <v>58.753799999999998</v>
      </c>
      <c r="BM7" s="1">
        <f>683313/11386</f>
        <v>60.013437554891972</v>
      </c>
      <c r="BN7" s="1">
        <f>591699/10621</f>
        <v>55.710290933057152</v>
      </c>
      <c r="BO7" s="1">
        <f>463262/9700</f>
        <v>47.758969072164952</v>
      </c>
      <c r="BP7" s="1">
        <f>745720/13900</f>
        <v>53.64892086330935</v>
      </c>
      <c r="BQ7" s="1">
        <v>58.8</v>
      </c>
      <c r="BR7" s="1">
        <v>53.7</v>
      </c>
      <c r="BS7" s="1">
        <v>53.2</v>
      </c>
      <c r="BT7" s="1">
        <v>54.9</v>
      </c>
      <c r="BU7" s="29">
        <v>53.7</v>
      </c>
      <c r="BV7" s="29">
        <v>54.2</v>
      </c>
      <c r="BW7" s="29">
        <v>57.3</v>
      </c>
      <c r="BX7" s="29">
        <v>50.7</v>
      </c>
      <c r="BY7" s="29">
        <v>54.3</v>
      </c>
      <c r="BZ7" s="29"/>
      <c r="CA7" s="24">
        <f t="shared" si="0"/>
        <v>2994.2086859589308</v>
      </c>
    </row>
    <row r="8" spans="1:79" x14ac:dyDescent="0.2">
      <c r="A8">
        <v>6</v>
      </c>
      <c r="B8" s="13" t="s">
        <v>19</v>
      </c>
      <c r="C8" s="8" t="s">
        <v>31</v>
      </c>
      <c r="D8" s="1">
        <f>(287350+2848176)/(12783+135687)</f>
        <v>21.118919647066747</v>
      </c>
      <c r="E8" s="1">
        <f>(33775+15739+17490+1047781+503210+240710)/(1874+1002+1078+50032+30893+14234)</f>
        <v>18.753392592293643</v>
      </c>
      <c r="F8" s="1">
        <v>22.2</v>
      </c>
      <c r="G8" s="1">
        <v>23.6</v>
      </c>
      <c r="H8" s="1">
        <v>21.2</v>
      </c>
      <c r="I8" s="1">
        <v>22.1</v>
      </c>
      <c r="J8" s="1">
        <v>26.9</v>
      </c>
      <c r="K8" s="1">
        <v>23.2</v>
      </c>
      <c r="L8" s="1">
        <v>24.2</v>
      </c>
      <c r="M8" s="1">
        <v>26.2</v>
      </c>
      <c r="N8" s="1">
        <v>25.5</v>
      </c>
      <c r="O8" s="1">
        <v>27.8</v>
      </c>
      <c r="P8" s="1">
        <v>28.8</v>
      </c>
      <c r="Q8" s="1">
        <v>22.6</v>
      </c>
      <c r="R8" s="1">
        <v>33.700000000000003</v>
      </c>
      <c r="S8" s="1">
        <v>28</v>
      </c>
      <c r="T8" s="1">
        <v>33.200000000000003</v>
      </c>
      <c r="U8" s="1">
        <v>22.9</v>
      </c>
      <c r="V8" s="1">
        <v>28.8</v>
      </c>
      <c r="W8" s="1">
        <v>34.1</v>
      </c>
      <c r="X8" s="1">
        <v>31.4</v>
      </c>
      <c r="Y8" s="1">
        <v>33.4</v>
      </c>
      <c r="Z8" s="1">
        <v>29.7</v>
      </c>
      <c r="AA8" s="2">
        <v>36.6</v>
      </c>
      <c r="AB8" s="1">
        <v>35.9</v>
      </c>
      <c r="AC8" s="1">
        <v>38.799999999999997</v>
      </c>
      <c r="AD8" s="1">
        <v>38.5</v>
      </c>
      <c r="AE8" s="1">
        <v>34.4</v>
      </c>
      <c r="AF8" s="1">
        <v>36.4</v>
      </c>
      <c r="AG8" s="1">
        <v>37.9</v>
      </c>
      <c r="AH8" s="1">
        <v>39.200000000000003</v>
      </c>
      <c r="AI8" s="1">
        <v>40.700000000000003</v>
      </c>
      <c r="AJ8" s="1">
        <v>40.4</v>
      </c>
      <c r="AK8" s="1">
        <v>41.4</v>
      </c>
      <c r="AL8" s="1">
        <v>44.6</v>
      </c>
      <c r="AM8" s="1">
        <v>41.3</v>
      </c>
      <c r="AN8" s="1">
        <v>48.3</v>
      </c>
      <c r="AO8" s="1">
        <v>47.4</v>
      </c>
      <c r="AP8" s="1">
        <v>39.200000000000003</v>
      </c>
      <c r="AQ8" s="1">
        <v>42.6</v>
      </c>
      <c r="AR8" s="1">
        <v>50.6</v>
      </c>
      <c r="AS8" s="1">
        <v>50.7</v>
      </c>
      <c r="AT8" s="1">
        <v>54.9</v>
      </c>
      <c r="AU8" s="1">
        <v>54.8</v>
      </c>
      <c r="AV8" s="1">
        <v>52.8</v>
      </c>
      <c r="AW8" s="1">
        <v>54</v>
      </c>
      <c r="AX8" s="1">
        <v>47.6</v>
      </c>
      <c r="AY8" s="1">
        <v>46.3</v>
      </c>
      <c r="AZ8" s="1">
        <v>57.7</v>
      </c>
      <c r="BA8" s="1">
        <v>55.4</v>
      </c>
      <c r="BB8" s="1">
        <v>58.8</v>
      </c>
      <c r="BC8" s="4">
        <f>(5254.9+4786.5)/(96.5+102.5)</f>
        <v>50.459296482412057</v>
      </c>
      <c r="BD8" s="1">
        <v>56.5</v>
      </c>
      <c r="BE8" s="1">
        <v>55.6</v>
      </c>
      <c r="BF8" s="1">
        <v>54.3</v>
      </c>
      <c r="BG8" s="1">
        <f>10215612/201700</f>
        <v>50.647555775904806</v>
      </c>
      <c r="BH8" s="1">
        <f>11744170/192600</f>
        <v>60.976998961578403</v>
      </c>
      <c r="BI8" s="1">
        <f>9929028/192800</f>
        <v>51.49910788381743</v>
      </c>
      <c r="BJ8" s="1">
        <f>10457881/183399</f>
        <v>57.02256282749633</v>
      </c>
      <c r="BK8" s="1">
        <f>9969989/187600</f>
        <v>53.14493070362473</v>
      </c>
      <c r="BL8" s="1">
        <f>10796457/192600</f>
        <v>56.056370716510905</v>
      </c>
      <c r="BM8" s="1">
        <f>11012327/179251</f>
        <v>61.435233276243927</v>
      </c>
      <c r="BN8" s="1">
        <f>9412623/158453</f>
        <v>59.403248912926863</v>
      </c>
      <c r="BO8" s="4">
        <f>(5740+3260.9)/(93.1+64.7)</f>
        <v>57.039923954372618</v>
      </c>
      <c r="BP8" s="1">
        <f>(4640900+5688280)/(74000+92600)</f>
        <v>61.999879951980795</v>
      </c>
      <c r="BQ8" s="1">
        <f>(6315911+3510924)/(92500+63300)</f>
        <v>63.073395378690627</v>
      </c>
      <c r="BR8" s="1">
        <v>69.2</v>
      </c>
      <c r="BS8" s="1">
        <v>62.1</v>
      </c>
      <c r="BT8" s="1">
        <v>62.4</v>
      </c>
      <c r="BU8" s="29">
        <v>67.5</v>
      </c>
      <c r="BV8" s="29">
        <v>64.599999999999994</v>
      </c>
      <c r="BW8" s="29">
        <v>68.7</v>
      </c>
      <c r="BX8" s="29">
        <v>61.2</v>
      </c>
      <c r="BY8" s="29">
        <v>64</v>
      </c>
      <c r="BZ8" s="29"/>
      <c r="CA8" s="24">
        <f t="shared" si="0"/>
        <v>3245.4308170649188</v>
      </c>
    </row>
    <row r="9" spans="1:79" x14ac:dyDescent="0.2">
      <c r="A9">
        <v>7</v>
      </c>
      <c r="B9" s="13" t="s">
        <v>20</v>
      </c>
      <c r="C9" s="8" t="s">
        <v>31</v>
      </c>
      <c r="D9" s="1">
        <v>22.5</v>
      </c>
      <c r="E9" s="1">
        <f>(33775+15739+17490)/(1874+1002+1078)</f>
        <v>16.945877592311582</v>
      </c>
      <c r="F9" s="1">
        <v>21.9</v>
      </c>
      <c r="G9" s="1">
        <v>23.1</v>
      </c>
      <c r="H9" s="1">
        <v>22.3</v>
      </c>
      <c r="I9" s="1">
        <v>22.2</v>
      </c>
      <c r="J9" s="1">
        <v>26</v>
      </c>
      <c r="K9" s="1">
        <v>23.9</v>
      </c>
      <c r="L9" s="1">
        <v>28.2</v>
      </c>
      <c r="M9" s="1">
        <v>27.5</v>
      </c>
      <c r="N9" s="1">
        <v>25.9</v>
      </c>
      <c r="O9" s="1">
        <v>29.6</v>
      </c>
      <c r="P9" s="1">
        <v>32.700000000000003</v>
      </c>
      <c r="Q9" s="1">
        <v>25</v>
      </c>
      <c r="R9" s="1">
        <v>31.8</v>
      </c>
      <c r="S9" s="1">
        <v>28.4</v>
      </c>
      <c r="T9" s="1">
        <v>31.6</v>
      </c>
      <c r="U9" s="1">
        <v>27.3</v>
      </c>
      <c r="V9" s="1">
        <v>30.8</v>
      </c>
      <c r="W9" s="1">
        <v>39.4</v>
      </c>
      <c r="X9" s="1">
        <v>35.4</v>
      </c>
      <c r="Y9" s="1">
        <v>33.6</v>
      </c>
      <c r="Z9" s="1">
        <v>33.700000000000003</v>
      </c>
      <c r="AA9" s="2">
        <v>38.700000000000003</v>
      </c>
      <c r="AB9" s="1">
        <v>38.700000000000003</v>
      </c>
      <c r="AC9" s="1">
        <v>43.1</v>
      </c>
      <c r="AD9" s="1">
        <v>44.8</v>
      </c>
      <c r="AE9" s="1">
        <v>39.799999999999997</v>
      </c>
      <c r="AF9" s="1">
        <v>40.1</v>
      </c>
      <c r="AG9" s="1">
        <v>42.1</v>
      </c>
      <c r="AH9" s="1">
        <v>45.6</v>
      </c>
      <c r="AI9" s="1">
        <v>45.9</v>
      </c>
      <c r="AJ9" s="1">
        <v>45.7</v>
      </c>
      <c r="AK9" s="1">
        <v>43.4</v>
      </c>
      <c r="AL9" s="1">
        <v>47.3</v>
      </c>
      <c r="AM9" s="1">
        <v>48.1</v>
      </c>
      <c r="AN9" s="1">
        <v>53.8</v>
      </c>
      <c r="AO9" s="1">
        <v>52.1</v>
      </c>
      <c r="AP9" s="1">
        <v>42.9</v>
      </c>
      <c r="AQ9" s="1">
        <v>47.3</v>
      </c>
      <c r="AR9" s="1">
        <v>54.5</v>
      </c>
      <c r="AS9" s="1">
        <v>58.8</v>
      </c>
      <c r="AT9" s="1">
        <v>62.5</v>
      </c>
      <c r="AU9" s="1">
        <v>59</v>
      </c>
      <c r="AV9" s="1">
        <v>61.4</v>
      </c>
      <c r="AW9" s="1">
        <v>55.3</v>
      </c>
      <c r="AX9" s="1">
        <v>53.7</v>
      </c>
      <c r="AY9" s="1">
        <v>53.5</v>
      </c>
      <c r="AZ9" s="1">
        <v>58.7</v>
      </c>
      <c r="BA9" s="1">
        <v>60.6</v>
      </c>
      <c r="BB9" s="1">
        <v>64.3</v>
      </c>
      <c r="BC9" s="1">
        <v>54.5</v>
      </c>
      <c r="BD9" s="1">
        <v>61.7</v>
      </c>
      <c r="BE9" s="1">
        <v>62.5</v>
      </c>
      <c r="BF9" s="1">
        <v>60.2</v>
      </c>
      <c r="BG9" s="1">
        <v>52.8</v>
      </c>
      <c r="BH9" s="1">
        <v>64.7</v>
      </c>
      <c r="BI9" s="1">
        <v>55.2</v>
      </c>
      <c r="BJ9" s="1">
        <v>62.3</v>
      </c>
      <c r="BK9" s="1">
        <v>60.2</v>
      </c>
      <c r="BL9" s="1">
        <v>58.4</v>
      </c>
      <c r="BM9" s="1">
        <v>65.599999999999994</v>
      </c>
      <c r="BN9" s="1">
        <v>62.1</v>
      </c>
      <c r="BO9" s="1">
        <v>61.7</v>
      </c>
      <c r="BP9" s="1">
        <v>62.7</v>
      </c>
      <c r="BQ9" s="1">
        <f>6315911/92500</f>
        <v>68.280118918918916</v>
      </c>
      <c r="BR9" s="1">
        <v>75.7</v>
      </c>
      <c r="BS9" s="1">
        <v>67.400000000000006</v>
      </c>
      <c r="BT9" s="1">
        <v>68.7</v>
      </c>
      <c r="BU9" s="29">
        <v>73.8</v>
      </c>
      <c r="BV9" s="29">
        <v>68.7</v>
      </c>
      <c r="BW9" s="29">
        <v>74.099999999999994</v>
      </c>
      <c r="BX9" s="29">
        <v>61.9</v>
      </c>
      <c r="BY9" s="29">
        <v>70.900000000000006</v>
      </c>
      <c r="BZ9" s="29"/>
      <c r="CA9" s="24">
        <f t="shared" si="0"/>
        <v>3515.5259965112291</v>
      </c>
    </row>
    <row r="10" spans="1:79" x14ac:dyDescent="0.2">
      <c r="A10">
        <v>8</v>
      </c>
      <c r="B10" s="13" t="s">
        <v>21</v>
      </c>
      <c r="C10" s="8" t="s">
        <v>31</v>
      </c>
      <c r="D10" s="1">
        <v>21</v>
      </c>
      <c r="E10" s="1">
        <f>(1047781+503210+240710)/(50032+30893+14234)</f>
        <v>18.828497567229583</v>
      </c>
      <c r="F10" s="1">
        <v>22.2</v>
      </c>
      <c r="G10" s="1">
        <v>23.6</v>
      </c>
      <c r="H10" s="1">
        <v>21.1</v>
      </c>
      <c r="I10" s="1">
        <v>22.1</v>
      </c>
      <c r="J10" s="1">
        <v>26.9</v>
      </c>
      <c r="K10" s="1">
        <v>23.2</v>
      </c>
      <c r="L10" s="1">
        <v>24.1</v>
      </c>
      <c r="M10" s="1">
        <v>26.2</v>
      </c>
      <c r="N10" s="1">
        <v>25.5</v>
      </c>
      <c r="O10" s="1">
        <v>27.7</v>
      </c>
      <c r="P10" s="1">
        <v>28.6</v>
      </c>
      <c r="Q10" s="1">
        <v>22.4</v>
      </c>
      <c r="R10" s="1">
        <v>33.799999999999997</v>
      </c>
      <c r="S10" s="1">
        <v>28</v>
      </c>
      <c r="T10" s="1">
        <v>33.200000000000003</v>
      </c>
      <c r="U10" s="1">
        <v>22.8</v>
      </c>
      <c r="V10" s="1">
        <v>28.7</v>
      </c>
      <c r="W10" s="1">
        <v>33.700000000000003</v>
      </c>
      <c r="X10" s="1">
        <v>31.1</v>
      </c>
      <c r="Y10" s="1">
        <v>33.299999999999997</v>
      </c>
      <c r="Z10" s="1">
        <v>29.4</v>
      </c>
      <c r="AA10" s="2">
        <v>36.4</v>
      </c>
      <c r="AB10" s="1">
        <v>35.5</v>
      </c>
      <c r="AC10" s="1">
        <v>38.200000000000003</v>
      </c>
      <c r="AD10" s="1">
        <v>37.6</v>
      </c>
      <c r="AE10" s="1">
        <v>33.6</v>
      </c>
      <c r="AF10" s="1">
        <v>35.700000000000003</v>
      </c>
      <c r="AG10" s="1">
        <v>36.799999999999997</v>
      </c>
      <c r="AH10" s="1">
        <v>37.200000000000003</v>
      </c>
      <c r="AI10" s="1">
        <v>38.4</v>
      </c>
      <c r="AJ10" s="1">
        <v>37.6</v>
      </c>
      <c r="AK10" s="1">
        <v>40</v>
      </c>
      <c r="AL10" s="1">
        <v>42.9</v>
      </c>
      <c r="AM10" s="1">
        <v>36.9</v>
      </c>
      <c r="AN10" s="1">
        <v>43.7</v>
      </c>
      <c r="AO10" s="1">
        <v>43.9</v>
      </c>
      <c r="AP10" s="1">
        <v>36</v>
      </c>
      <c r="AQ10" s="1">
        <v>38.1</v>
      </c>
      <c r="AR10" s="1">
        <v>47.3</v>
      </c>
      <c r="AS10" s="1">
        <v>44.2</v>
      </c>
      <c r="AT10" s="1">
        <v>48.4</v>
      </c>
      <c r="AU10" s="1">
        <v>51.5</v>
      </c>
      <c r="AV10" s="1">
        <v>45.9</v>
      </c>
      <c r="AW10" s="1">
        <v>52.9</v>
      </c>
      <c r="AX10" s="1">
        <v>43</v>
      </c>
      <c r="AY10" s="1">
        <v>40</v>
      </c>
      <c r="AZ10" s="1">
        <v>56.8</v>
      </c>
      <c r="BA10" s="1">
        <v>50.9</v>
      </c>
      <c r="BB10" s="1">
        <v>53.2</v>
      </c>
      <c r="BC10" s="1">
        <v>46.7</v>
      </c>
      <c r="BD10" s="1">
        <v>50.8</v>
      </c>
      <c r="BE10" s="1">
        <v>48.5</v>
      </c>
      <c r="BF10" s="1">
        <v>47.4</v>
      </c>
      <c r="BG10" s="1">
        <v>48.5</v>
      </c>
      <c r="BH10" s="1">
        <v>57</v>
      </c>
      <c r="BI10" s="1">
        <v>47.5</v>
      </c>
      <c r="BJ10" s="1">
        <v>50.6</v>
      </c>
      <c r="BK10" s="1">
        <v>44.3</v>
      </c>
      <c r="BL10" s="1">
        <v>53.2</v>
      </c>
      <c r="BM10" s="1">
        <v>55.3</v>
      </c>
      <c r="BN10" s="1">
        <v>55</v>
      </c>
      <c r="BO10" s="1">
        <v>50.4</v>
      </c>
      <c r="BP10" s="1">
        <v>61.4</v>
      </c>
      <c r="BQ10" s="1">
        <v>55.4</v>
      </c>
      <c r="BR10" s="1">
        <v>60</v>
      </c>
      <c r="BS10" s="1">
        <v>53.9</v>
      </c>
      <c r="BT10" s="1">
        <v>51.5</v>
      </c>
      <c r="BU10" s="29">
        <v>56.8</v>
      </c>
      <c r="BV10" s="29">
        <v>57.9</v>
      </c>
      <c r="BW10" s="29">
        <v>60.5</v>
      </c>
      <c r="BX10" s="29">
        <v>60.2</v>
      </c>
      <c r="BY10" s="29">
        <v>52.7</v>
      </c>
      <c r="BZ10" s="29"/>
      <c r="CA10" s="24">
        <f t="shared" si="0"/>
        <v>3015.5284975672307</v>
      </c>
    </row>
    <row r="11" spans="1:79" x14ac:dyDescent="0.2">
      <c r="A11">
        <v>9</v>
      </c>
      <c r="B11" s="13" t="s">
        <v>12</v>
      </c>
      <c r="C11" s="8" t="s">
        <v>31</v>
      </c>
      <c r="D11" s="1">
        <v>19.3</v>
      </c>
      <c r="E11" s="1">
        <f>(1068588+363856+209920)/(56917+26190+14042)</f>
        <v>16.905619203491543</v>
      </c>
      <c r="F11" s="1">
        <v>19.600000000000001</v>
      </c>
      <c r="G11" s="1">
        <v>23</v>
      </c>
      <c r="H11" s="1">
        <v>20.399999999999999</v>
      </c>
      <c r="I11" s="1">
        <v>21.3</v>
      </c>
      <c r="J11" s="1">
        <v>25.6</v>
      </c>
      <c r="K11" s="1">
        <v>23.5</v>
      </c>
      <c r="L11" s="1">
        <v>24.2</v>
      </c>
      <c r="M11" s="1">
        <v>23.7</v>
      </c>
      <c r="N11" s="1">
        <v>24.3</v>
      </c>
      <c r="O11" s="1">
        <v>24.2</v>
      </c>
      <c r="P11" s="1">
        <v>28.2</v>
      </c>
      <c r="Q11" s="1">
        <v>25.4</v>
      </c>
      <c r="R11" s="1">
        <v>31.7</v>
      </c>
      <c r="S11" s="1">
        <v>27.7</v>
      </c>
      <c r="T11" s="1">
        <v>29.1</v>
      </c>
      <c r="U11" s="1">
        <v>25</v>
      </c>
      <c r="V11" s="1">
        <v>28.9</v>
      </c>
      <c r="W11" s="1">
        <v>31</v>
      </c>
      <c r="X11" s="1">
        <v>29.8</v>
      </c>
      <c r="Y11" s="1">
        <v>31.5</v>
      </c>
      <c r="Z11" s="1">
        <v>29.4</v>
      </c>
      <c r="AA11" s="2">
        <v>35.200000000000003</v>
      </c>
      <c r="AB11" s="1">
        <v>38.799999999999997</v>
      </c>
      <c r="AC11" s="1">
        <v>38.4</v>
      </c>
      <c r="AD11" s="1">
        <v>43.7</v>
      </c>
      <c r="AE11" s="1">
        <v>37.6</v>
      </c>
      <c r="AF11" s="1">
        <v>31.2</v>
      </c>
      <c r="AG11" s="1">
        <v>38.4</v>
      </c>
      <c r="AH11" s="1">
        <v>43.5</v>
      </c>
      <c r="AI11" s="1">
        <v>41.2</v>
      </c>
      <c r="AJ11" s="1">
        <v>38.9</v>
      </c>
      <c r="AK11" s="1">
        <v>41.1</v>
      </c>
      <c r="AL11" s="1">
        <v>39.700000000000003</v>
      </c>
      <c r="AM11" s="1">
        <v>38.700000000000003</v>
      </c>
      <c r="AN11" s="1">
        <v>43.2</v>
      </c>
      <c r="AO11" s="1">
        <v>49.2</v>
      </c>
      <c r="AP11" s="1">
        <v>40.5</v>
      </c>
      <c r="AQ11" s="1">
        <v>44.8</v>
      </c>
      <c r="AR11" s="1">
        <v>52.4</v>
      </c>
      <c r="AS11" s="1">
        <v>45.2</v>
      </c>
      <c r="AT11" s="1">
        <v>47.8</v>
      </c>
      <c r="AU11" s="1">
        <v>53.2</v>
      </c>
      <c r="AV11" s="1">
        <v>44.4</v>
      </c>
      <c r="AW11" s="1">
        <v>54.3</v>
      </c>
      <c r="AX11" s="1">
        <v>46.4</v>
      </c>
      <c r="AY11" s="1">
        <v>45.7</v>
      </c>
      <c r="AZ11" s="1">
        <v>59.3</v>
      </c>
      <c r="BA11" s="1">
        <v>53.8</v>
      </c>
      <c r="BB11" s="1">
        <v>53.2</v>
      </c>
      <c r="BC11" s="1">
        <v>49.8</v>
      </c>
      <c r="BD11" s="1">
        <v>53.6</v>
      </c>
      <c r="BE11" s="1">
        <v>55.1</v>
      </c>
      <c r="BF11" s="1">
        <v>49.2</v>
      </c>
      <c r="BG11" s="1">
        <v>49.4</v>
      </c>
      <c r="BH11" s="1">
        <v>54.8</v>
      </c>
      <c r="BI11" s="1">
        <v>48.7</v>
      </c>
      <c r="BJ11" s="1">
        <v>52.1</v>
      </c>
      <c r="BK11" s="1">
        <v>44.7</v>
      </c>
      <c r="BL11" s="1">
        <v>55.5</v>
      </c>
      <c r="BM11" s="1">
        <v>59</v>
      </c>
      <c r="BN11" s="1">
        <v>49.5</v>
      </c>
      <c r="BO11" s="1">
        <v>47.8</v>
      </c>
      <c r="BP11" s="1">
        <v>56.4</v>
      </c>
      <c r="BQ11" s="1">
        <v>45.2</v>
      </c>
      <c r="BR11" s="1">
        <v>47.6</v>
      </c>
      <c r="BS11" s="1">
        <v>46.6</v>
      </c>
      <c r="BT11" s="1">
        <v>51.1</v>
      </c>
      <c r="BU11" s="29">
        <v>45.2</v>
      </c>
      <c r="BV11" s="29">
        <v>56</v>
      </c>
      <c r="BW11" s="29">
        <v>49.2</v>
      </c>
      <c r="BX11" s="29">
        <v>52.1</v>
      </c>
      <c r="BY11" s="29">
        <v>47.8</v>
      </c>
      <c r="BZ11" s="29"/>
      <c r="CA11" s="24">
        <f t="shared" si="0"/>
        <v>2989.9056192034909</v>
      </c>
    </row>
    <row r="12" spans="1:79" x14ac:dyDescent="0.2">
      <c r="A12">
        <v>10</v>
      </c>
      <c r="B12" s="13" t="s">
        <v>5</v>
      </c>
      <c r="C12" s="8" t="s">
        <v>31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5" t="s">
        <v>1</v>
      </c>
      <c r="AB12" s="3" t="s">
        <v>1</v>
      </c>
      <c r="AC12" s="3" t="s">
        <v>1</v>
      </c>
      <c r="AD12" s="3" t="s">
        <v>1</v>
      </c>
      <c r="AE12" s="3" t="s">
        <v>1</v>
      </c>
      <c r="AF12" s="3" t="s">
        <v>1</v>
      </c>
      <c r="AG12" s="3" t="s">
        <v>1</v>
      </c>
      <c r="AH12" s="3" t="s">
        <v>1</v>
      </c>
      <c r="AI12" s="3" t="s">
        <v>1</v>
      </c>
      <c r="AJ12" s="3" t="s">
        <v>1</v>
      </c>
      <c r="AK12" s="3" t="s">
        <v>1</v>
      </c>
      <c r="AL12" s="3" t="s">
        <v>1</v>
      </c>
      <c r="AM12" s="3" t="s">
        <v>1</v>
      </c>
      <c r="AN12" s="3" t="s">
        <v>1</v>
      </c>
      <c r="AO12" s="3" t="s">
        <v>1</v>
      </c>
      <c r="AP12" s="3" t="s">
        <v>1</v>
      </c>
      <c r="AQ12" s="3" t="s">
        <v>1</v>
      </c>
      <c r="AR12" s="3">
        <v>51.5</v>
      </c>
      <c r="AS12" s="3">
        <v>53.3</v>
      </c>
      <c r="AT12" s="3">
        <v>54.8</v>
      </c>
      <c r="AU12" s="3">
        <v>57.6</v>
      </c>
      <c r="AV12" s="3">
        <v>54.4</v>
      </c>
      <c r="AW12" s="3">
        <v>55.6</v>
      </c>
      <c r="AX12" s="3">
        <v>51.4</v>
      </c>
      <c r="AY12" s="3">
        <v>50.6</v>
      </c>
      <c r="AZ12" s="3">
        <v>62.5</v>
      </c>
      <c r="BA12" s="3">
        <v>59.1</v>
      </c>
      <c r="BB12" s="3">
        <v>63.8</v>
      </c>
      <c r="BC12" s="6">
        <v>58.2</v>
      </c>
      <c r="BD12" s="3">
        <v>64.3</v>
      </c>
      <c r="BE12" s="3">
        <v>64.400000000000006</v>
      </c>
      <c r="BF12" s="3">
        <v>63</v>
      </c>
      <c r="BG12" s="1">
        <v>55</v>
      </c>
      <c r="BH12" s="1">
        <v>71</v>
      </c>
      <c r="BI12" s="1">
        <v>63.3</v>
      </c>
      <c r="BJ12" s="1">
        <v>66.3</v>
      </c>
      <c r="BK12" s="1">
        <v>67.400000000000006</v>
      </c>
      <c r="BL12" s="1">
        <v>68.099999999999994</v>
      </c>
      <c r="BM12" s="1">
        <v>69</v>
      </c>
      <c r="BN12" s="1">
        <v>65.900000000000006</v>
      </c>
      <c r="BO12" s="1">
        <v>67.5</v>
      </c>
      <c r="BP12" s="1">
        <v>61.6</v>
      </c>
      <c r="BQ12" s="1">
        <v>69.900000000000006</v>
      </c>
      <c r="BR12" s="1">
        <v>73.099999999999994</v>
      </c>
      <c r="BS12" s="1">
        <v>67.5</v>
      </c>
      <c r="BT12" s="1">
        <v>66.900000000000006</v>
      </c>
      <c r="BU12" s="29">
        <v>70</v>
      </c>
      <c r="BV12" s="29">
        <v>68.5</v>
      </c>
      <c r="BW12" s="29">
        <v>71.099999999999994</v>
      </c>
      <c r="BX12" s="29">
        <v>70.7</v>
      </c>
      <c r="BY12" s="29">
        <v>60.8</v>
      </c>
      <c r="BZ12" s="29"/>
      <c r="CA12" s="24">
        <f t="shared" si="0"/>
        <v>2138.1</v>
      </c>
    </row>
    <row r="13" spans="1:79" x14ac:dyDescent="0.2">
      <c r="A13">
        <v>11</v>
      </c>
      <c r="B13" s="13" t="s">
        <v>22</v>
      </c>
      <c r="C13" s="8" t="s">
        <v>31</v>
      </c>
      <c r="D13" s="3">
        <v>28.4</v>
      </c>
      <c r="E13" s="3">
        <f>(106560+770+21400)/(5151+44+2218)</f>
        <v>17.365439093484419</v>
      </c>
      <c r="F13" s="3">
        <v>26.7</v>
      </c>
      <c r="G13" s="3">
        <v>29</v>
      </c>
      <c r="H13" s="3">
        <v>21.9</v>
      </c>
      <c r="I13" s="3">
        <v>29.9</v>
      </c>
      <c r="J13" s="3">
        <v>27.7</v>
      </c>
      <c r="K13" s="3">
        <v>31.2</v>
      </c>
      <c r="L13" s="3">
        <v>30.1</v>
      </c>
      <c r="M13" s="3">
        <v>29.5</v>
      </c>
      <c r="N13" s="3">
        <v>30.8</v>
      </c>
      <c r="O13" s="3">
        <v>28.2</v>
      </c>
      <c r="P13" s="3">
        <v>32.200000000000003</v>
      </c>
      <c r="Q13" s="3">
        <v>32.5</v>
      </c>
      <c r="R13" s="3">
        <v>34.6</v>
      </c>
      <c r="S13" s="3">
        <v>37.9</v>
      </c>
      <c r="T13" s="3">
        <v>33.5</v>
      </c>
      <c r="U13" s="3">
        <v>40.1</v>
      </c>
      <c r="V13" s="3">
        <v>43.5</v>
      </c>
      <c r="W13" s="3">
        <v>50.6</v>
      </c>
      <c r="X13" s="3">
        <v>51.8</v>
      </c>
      <c r="Y13" s="3">
        <v>48.8</v>
      </c>
      <c r="Z13" s="3">
        <v>50.9</v>
      </c>
      <c r="AA13" s="5">
        <v>50.9</v>
      </c>
      <c r="AB13" s="3">
        <v>46.7</v>
      </c>
      <c r="AC13" s="3">
        <v>55</v>
      </c>
      <c r="AD13" s="3">
        <v>51.9</v>
      </c>
      <c r="AE13" s="3">
        <v>54.4</v>
      </c>
      <c r="AF13" s="3">
        <v>45.5</v>
      </c>
      <c r="AG13" s="3">
        <v>57.3</v>
      </c>
      <c r="AH13" s="3">
        <v>53.8</v>
      </c>
      <c r="AI13" s="3">
        <v>70.900000000000006</v>
      </c>
      <c r="AJ13" s="3">
        <v>62.9</v>
      </c>
      <c r="AK13" s="3">
        <v>69.099999999999994</v>
      </c>
      <c r="AL13" s="3">
        <v>66.900000000000006</v>
      </c>
      <c r="AM13" s="3">
        <v>53.5</v>
      </c>
      <c r="AN13" s="3">
        <v>57.4</v>
      </c>
      <c r="AO13" s="3">
        <v>75.400000000000006</v>
      </c>
      <c r="AP13" s="3">
        <v>70.5</v>
      </c>
      <c r="AQ13" s="6">
        <v>68.099999999999994</v>
      </c>
      <c r="AR13" s="6">
        <v>85.6</v>
      </c>
      <c r="AS13" s="6">
        <v>77.400000000000006</v>
      </c>
      <c r="AT13" s="6">
        <v>70.400000000000006</v>
      </c>
      <c r="AU13" s="6">
        <v>78.3</v>
      </c>
      <c r="AV13" s="6">
        <v>78</v>
      </c>
      <c r="AW13" s="6">
        <v>93.9</v>
      </c>
      <c r="AX13" s="6">
        <v>85</v>
      </c>
      <c r="AY13" s="6">
        <v>84</v>
      </c>
      <c r="AZ13" s="6">
        <v>83.7</v>
      </c>
      <c r="BA13" s="6">
        <v>96</v>
      </c>
      <c r="BB13" s="6">
        <v>87.9</v>
      </c>
      <c r="BC13" s="6">
        <v>96.3</v>
      </c>
      <c r="BD13" s="3">
        <v>100.5</v>
      </c>
      <c r="BE13" s="3">
        <v>88</v>
      </c>
      <c r="BF13" s="3">
        <v>100.8</v>
      </c>
      <c r="BG13" s="1">
        <f>5355984/70500</f>
        <v>75.971404255319143</v>
      </c>
      <c r="BH13" s="1">
        <f>6672351/72400</f>
        <v>92.159544198895034</v>
      </c>
      <c r="BI13" s="1">
        <f>6401652/67700</f>
        <v>94.559113737075336</v>
      </c>
      <c r="BJ13" s="1">
        <f>5337580/65572</f>
        <v>81.400292807905814</v>
      </c>
      <c r="BK13" s="1">
        <f>6154476/62900</f>
        <v>97.845405405405401</v>
      </c>
      <c r="BL13" s="1">
        <f>7677514/72800</f>
        <v>105.46035714285715</v>
      </c>
      <c r="BM13" s="1">
        <f>7131630/65300</f>
        <v>109.21332312404287</v>
      </c>
      <c r="BN13" s="1">
        <f>6722513/68230</f>
        <v>98.52723142312766</v>
      </c>
      <c r="BO13" s="1">
        <f>8338719/68800</f>
        <v>121.20231104651162</v>
      </c>
      <c r="BP13" s="1">
        <v>117.2</v>
      </c>
      <c r="BQ13" s="1">
        <f>6892215/72100</f>
        <v>95.592441054091537</v>
      </c>
      <c r="BR13" s="1">
        <v>81</v>
      </c>
      <c r="BS13" s="1">
        <v>84.3</v>
      </c>
      <c r="BT13" s="1">
        <v>94.8</v>
      </c>
      <c r="BU13" s="29">
        <v>116.3</v>
      </c>
      <c r="BV13" s="29">
        <v>88.3</v>
      </c>
      <c r="BW13" s="29">
        <v>107.1</v>
      </c>
      <c r="BX13" s="29">
        <v>95.3</v>
      </c>
      <c r="BY13" s="29">
        <v>115</v>
      </c>
      <c r="BZ13" s="29"/>
      <c r="CA13" s="24">
        <f t="shared" si="0"/>
        <v>4974.3968632887181</v>
      </c>
    </row>
    <row r="14" spans="1:79" x14ac:dyDescent="0.2">
      <c r="A14">
        <v>12</v>
      </c>
      <c r="B14" s="13" t="s">
        <v>23</v>
      </c>
      <c r="C14" s="8" t="s">
        <v>31</v>
      </c>
      <c r="D14" s="1">
        <v>16.8</v>
      </c>
      <c r="E14" s="1">
        <f>(98665+22491+6590)/(7721+2114+1016)</f>
        <v>11.772739839646116</v>
      </c>
      <c r="F14" s="1">
        <v>15.8</v>
      </c>
      <c r="G14" s="1">
        <v>16.3</v>
      </c>
      <c r="H14" s="1">
        <v>14.1</v>
      </c>
      <c r="I14" s="1">
        <v>18.100000000000001</v>
      </c>
      <c r="J14" s="1">
        <v>19.2</v>
      </c>
      <c r="K14" s="1">
        <v>19.3</v>
      </c>
      <c r="L14" s="1">
        <v>17.899999999999999</v>
      </c>
      <c r="M14" s="1">
        <v>19.2</v>
      </c>
      <c r="N14" s="1">
        <v>20.100000000000001</v>
      </c>
      <c r="O14" s="1">
        <v>19.3</v>
      </c>
      <c r="P14" s="1">
        <v>21.4</v>
      </c>
      <c r="Q14" s="1">
        <v>22.6</v>
      </c>
      <c r="R14" s="1">
        <v>24</v>
      </c>
      <c r="S14" s="1">
        <v>23.7</v>
      </c>
      <c r="T14" s="1">
        <v>19</v>
      </c>
      <c r="U14" s="1">
        <v>20</v>
      </c>
      <c r="V14" s="1">
        <v>23.9</v>
      </c>
      <c r="W14" s="1">
        <v>26.2</v>
      </c>
      <c r="X14" s="1">
        <v>24.5</v>
      </c>
      <c r="Y14" s="1">
        <v>27.9</v>
      </c>
      <c r="Z14" s="1">
        <v>26.8</v>
      </c>
      <c r="AA14" s="2">
        <v>25.8</v>
      </c>
      <c r="AB14" s="1">
        <v>25.8</v>
      </c>
      <c r="AC14" s="1">
        <v>27.6</v>
      </c>
      <c r="AD14" s="1">
        <v>28.9</v>
      </c>
      <c r="AE14" s="1">
        <v>28</v>
      </c>
      <c r="AF14" s="1">
        <v>17.100000000000001</v>
      </c>
      <c r="AG14" s="1">
        <v>27.7</v>
      </c>
      <c r="AH14" s="1">
        <v>30.8</v>
      </c>
      <c r="AI14" s="1">
        <v>27.7</v>
      </c>
      <c r="AJ14" s="1">
        <v>27.2</v>
      </c>
      <c r="AK14" s="1">
        <v>26</v>
      </c>
      <c r="AL14" s="1">
        <v>27.3</v>
      </c>
      <c r="AM14" s="1">
        <v>24.3</v>
      </c>
      <c r="AN14" s="1">
        <v>28.7</v>
      </c>
      <c r="AO14" s="1">
        <v>32.9</v>
      </c>
      <c r="AP14" s="1">
        <v>30.7</v>
      </c>
      <c r="AQ14" s="1">
        <v>27.8</v>
      </c>
      <c r="AR14" s="1">
        <v>34.6</v>
      </c>
      <c r="AS14" s="1">
        <v>31.4</v>
      </c>
      <c r="AT14" s="1">
        <v>33.1</v>
      </c>
      <c r="AU14" s="1">
        <v>32.5</v>
      </c>
      <c r="AV14" s="1">
        <v>32.9</v>
      </c>
      <c r="AW14" s="1">
        <v>34</v>
      </c>
      <c r="AX14" s="1">
        <v>31.9</v>
      </c>
      <c r="AY14" s="1">
        <v>32.200000000000003</v>
      </c>
      <c r="AZ14" s="1">
        <v>35.5</v>
      </c>
      <c r="BA14" s="1">
        <v>34.9</v>
      </c>
      <c r="BB14" s="1">
        <v>35.700000000000003</v>
      </c>
      <c r="BC14" s="1">
        <v>35.4</v>
      </c>
      <c r="BD14" s="1">
        <v>34.700000000000003</v>
      </c>
      <c r="BE14" s="1">
        <v>35.299999999999997</v>
      </c>
      <c r="BF14" s="1">
        <v>33.6</v>
      </c>
      <c r="BG14" s="1">
        <v>29.5</v>
      </c>
      <c r="BH14" s="1">
        <v>34.200000000000003</v>
      </c>
      <c r="BI14" s="1">
        <v>32.9</v>
      </c>
      <c r="BJ14" s="1">
        <v>34.1</v>
      </c>
      <c r="BK14" s="1">
        <v>33.5</v>
      </c>
      <c r="BL14" s="1">
        <v>36.299999999999997</v>
      </c>
      <c r="BM14" s="1">
        <v>35.299999999999997</v>
      </c>
      <c r="BN14" s="1">
        <v>34.1</v>
      </c>
      <c r="BO14" s="1">
        <v>32.6</v>
      </c>
      <c r="BP14" s="1" t="s">
        <v>0</v>
      </c>
      <c r="BQ14" s="1" t="s">
        <v>0</v>
      </c>
      <c r="BR14" s="1" t="s">
        <v>0</v>
      </c>
      <c r="BS14" s="1" t="s">
        <v>0</v>
      </c>
      <c r="BT14" s="1" t="s">
        <v>0</v>
      </c>
      <c r="BU14" s="1" t="s">
        <v>0</v>
      </c>
      <c r="BV14" s="1" t="s">
        <v>0</v>
      </c>
      <c r="BW14" s="1" t="s">
        <v>0</v>
      </c>
      <c r="BX14" s="1" t="s">
        <v>0</v>
      </c>
      <c r="BY14" s="1" t="s">
        <v>0</v>
      </c>
      <c r="BZ14" s="1"/>
      <c r="CA14" s="24">
        <f t="shared" si="0"/>
        <v>1742.3727398396461</v>
      </c>
    </row>
    <row r="15" spans="1:79" x14ac:dyDescent="0.2">
      <c r="A15">
        <v>13</v>
      </c>
      <c r="B15" s="13" t="s">
        <v>26</v>
      </c>
      <c r="C15" s="8" t="s">
        <v>31</v>
      </c>
      <c r="D15" s="3">
        <v>16.3</v>
      </c>
      <c r="E15" s="3" t="s">
        <v>1</v>
      </c>
      <c r="F15" s="3">
        <v>15.6</v>
      </c>
      <c r="G15" s="3">
        <v>15.5</v>
      </c>
      <c r="H15" s="3">
        <v>14</v>
      </c>
      <c r="I15" s="1">
        <v>17.399999999999999</v>
      </c>
      <c r="J15" s="3">
        <v>18.600000000000001</v>
      </c>
      <c r="K15" s="1">
        <v>17.7</v>
      </c>
      <c r="L15" s="1">
        <v>17.3</v>
      </c>
      <c r="M15" s="1">
        <v>19</v>
      </c>
      <c r="N15" s="1">
        <v>19.5</v>
      </c>
      <c r="O15" s="1">
        <v>19.399999999999999</v>
      </c>
      <c r="P15" s="1">
        <v>20.100000000000001</v>
      </c>
      <c r="Q15" s="1">
        <v>21</v>
      </c>
      <c r="R15" s="1">
        <v>23.1</v>
      </c>
      <c r="S15" s="1">
        <v>22.5</v>
      </c>
      <c r="T15" s="1">
        <v>18.8</v>
      </c>
      <c r="U15" s="1">
        <v>19.3</v>
      </c>
      <c r="V15" s="1">
        <v>22.8</v>
      </c>
      <c r="W15" s="1">
        <v>23.8</v>
      </c>
      <c r="X15" s="1">
        <v>21.6</v>
      </c>
      <c r="Y15" s="1">
        <v>24.7</v>
      </c>
      <c r="Z15" s="1">
        <v>24.9</v>
      </c>
      <c r="AA15" s="2">
        <v>25.9</v>
      </c>
      <c r="AB15" s="1">
        <v>23.7</v>
      </c>
      <c r="AC15" s="1">
        <v>24.9</v>
      </c>
      <c r="AD15" s="1">
        <v>26.2</v>
      </c>
      <c r="AE15" s="1">
        <v>26.2</v>
      </c>
      <c r="AF15" s="1">
        <v>22</v>
      </c>
      <c r="AG15" s="1">
        <v>25.2</v>
      </c>
      <c r="AH15" s="1">
        <v>31</v>
      </c>
      <c r="AI15" s="1">
        <v>25.8</v>
      </c>
      <c r="AJ15" s="1">
        <v>24.7</v>
      </c>
      <c r="AK15" s="1">
        <v>27.9</v>
      </c>
      <c r="AL15" s="1">
        <v>28.6</v>
      </c>
      <c r="AM15" s="1">
        <v>23.8</v>
      </c>
      <c r="AN15" s="1">
        <v>29.8</v>
      </c>
      <c r="AO15" s="1">
        <v>31.2</v>
      </c>
      <c r="AP15" s="1">
        <v>31.2</v>
      </c>
      <c r="AQ15" s="1">
        <v>26.4</v>
      </c>
      <c r="AR15" s="1">
        <v>34.799999999999997</v>
      </c>
      <c r="AS15" s="1">
        <v>33.799999999999997</v>
      </c>
      <c r="AT15" s="1">
        <v>34</v>
      </c>
      <c r="AU15" s="1">
        <v>34.1</v>
      </c>
      <c r="AV15" s="1">
        <v>33.799999999999997</v>
      </c>
      <c r="AW15" s="1">
        <v>34.200000000000003</v>
      </c>
      <c r="AX15" s="1">
        <v>32.5</v>
      </c>
      <c r="AY15" s="1">
        <v>32.6</v>
      </c>
      <c r="AZ15" s="1">
        <v>35.1</v>
      </c>
      <c r="BA15" s="1">
        <v>35.200000000000003</v>
      </c>
      <c r="BB15" s="1">
        <v>36.700000000000003</v>
      </c>
      <c r="BC15" s="1">
        <v>35.4</v>
      </c>
      <c r="BD15" s="1">
        <v>35.299999999999997</v>
      </c>
      <c r="BE15" s="1">
        <v>35.9</v>
      </c>
      <c r="BF15" s="4">
        <v>33.6</v>
      </c>
      <c r="BG15" s="4">
        <f>161469/5317</f>
        <v>30.368440850103443</v>
      </c>
      <c r="BH15" s="4">
        <f>168136/4800</f>
        <v>35.028333333333336</v>
      </c>
      <c r="BI15" s="4">
        <f>152761/4500</f>
        <v>33.946888888888886</v>
      </c>
      <c r="BJ15" s="1">
        <f>129358/3704</f>
        <v>34.923866090712743</v>
      </c>
      <c r="BK15" s="1">
        <f>98717/2900</f>
        <v>34.04034482758621</v>
      </c>
      <c r="BL15" s="1">
        <f>84259/2300</f>
        <v>36.634347826086959</v>
      </c>
      <c r="BM15" s="1">
        <f>100962/2816</f>
        <v>35.852982954545453</v>
      </c>
      <c r="BN15" s="1">
        <f>131041/3785</f>
        <v>34.621136063408187</v>
      </c>
      <c r="BO15" s="1">
        <f>110706/3500</f>
        <v>31.630285714285716</v>
      </c>
      <c r="BP15" s="1">
        <f>103945/2900</f>
        <v>35.843103448275862</v>
      </c>
      <c r="BQ15" s="1">
        <v>38.299999999999997</v>
      </c>
      <c r="BR15" s="1">
        <v>36.299999999999997</v>
      </c>
      <c r="BS15" s="1">
        <f>238271/6100</f>
        <v>39.060819672131146</v>
      </c>
      <c r="BT15" s="1">
        <v>33.200000000000003</v>
      </c>
      <c r="BU15" s="29">
        <v>35.6</v>
      </c>
      <c r="BV15" s="29">
        <v>36</v>
      </c>
      <c r="BW15" s="29">
        <v>36.1</v>
      </c>
      <c r="BX15" s="29">
        <v>34.299999999999997</v>
      </c>
      <c r="BY15" s="29">
        <v>25.5</v>
      </c>
      <c r="BZ15" s="29"/>
      <c r="CA15" s="24">
        <f t="shared" si="0"/>
        <v>2061.6505496693576</v>
      </c>
    </row>
    <row r="16" spans="1:79" x14ac:dyDescent="0.2">
      <c r="A16">
        <v>14</v>
      </c>
      <c r="B16" s="13" t="s">
        <v>27</v>
      </c>
      <c r="C16" s="8" t="s">
        <v>31</v>
      </c>
      <c r="D16" s="3">
        <v>18.100000000000001</v>
      </c>
      <c r="E16" s="3" t="s">
        <v>1</v>
      </c>
      <c r="F16" s="3">
        <v>16.600000000000001</v>
      </c>
      <c r="G16" s="3">
        <v>19.899999999999999</v>
      </c>
      <c r="H16" s="3">
        <v>14.9</v>
      </c>
      <c r="I16" s="1">
        <v>21.8</v>
      </c>
      <c r="J16" s="3">
        <v>22.1</v>
      </c>
      <c r="K16" s="1">
        <v>23.6</v>
      </c>
      <c r="L16" s="1">
        <v>20.2</v>
      </c>
      <c r="M16" s="1">
        <v>20.100000000000001</v>
      </c>
      <c r="N16" s="1">
        <v>21.5</v>
      </c>
      <c r="O16" s="1">
        <v>18.899999999999999</v>
      </c>
      <c r="P16" s="1">
        <v>23.9</v>
      </c>
      <c r="Q16" s="1">
        <v>25.7</v>
      </c>
      <c r="R16" s="1">
        <v>26.2</v>
      </c>
      <c r="S16" s="1">
        <v>26.3</v>
      </c>
      <c r="T16" s="1">
        <v>19.399999999999999</v>
      </c>
      <c r="U16" s="1">
        <v>21.2</v>
      </c>
      <c r="V16" s="1">
        <v>26.9</v>
      </c>
      <c r="W16" s="1">
        <v>29</v>
      </c>
      <c r="X16" s="1">
        <v>26.3</v>
      </c>
      <c r="Y16" s="1">
        <v>30.2</v>
      </c>
      <c r="Z16" s="1">
        <v>28.6</v>
      </c>
      <c r="AA16" s="2">
        <v>26.4</v>
      </c>
      <c r="AB16" s="1">
        <v>27.9</v>
      </c>
      <c r="AC16" s="1">
        <v>30.7</v>
      </c>
      <c r="AD16" s="1">
        <v>30.1</v>
      </c>
      <c r="AE16" s="1">
        <v>30.2</v>
      </c>
      <c r="AF16" s="1">
        <v>15.2</v>
      </c>
      <c r="AG16" s="1">
        <v>30</v>
      </c>
      <c r="AH16" s="1">
        <v>33.299999999999997</v>
      </c>
      <c r="AI16" s="1">
        <v>28.6</v>
      </c>
      <c r="AJ16" s="1">
        <v>29.4</v>
      </c>
      <c r="AK16" s="1">
        <v>29.1</v>
      </c>
      <c r="AL16" s="1">
        <v>29</v>
      </c>
      <c r="AM16" s="1">
        <v>24.4</v>
      </c>
      <c r="AN16" s="1">
        <v>29.7</v>
      </c>
      <c r="AO16" s="1">
        <v>30.8</v>
      </c>
      <c r="AP16" s="1">
        <v>31.9</v>
      </c>
      <c r="AQ16" s="1">
        <v>32.9</v>
      </c>
      <c r="AR16" s="1">
        <v>35</v>
      </c>
      <c r="AS16" s="1">
        <v>28.8</v>
      </c>
      <c r="AT16" s="1">
        <v>31.8</v>
      </c>
      <c r="AU16" s="1">
        <v>30.4</v>
      </c>
      <c r="AV16" s="1">
        <v>31.4</v>
      </c>
      <c r="AW16" s="1">
        <v>33.700000000000003</v>
      </c>
      <c r="AX16" s="1">
        <v>31.3</v>
      </c>
      <c r="AY16" s="1">
        <v>31.7</v>
      </c>
      <c r="AZ16" s="1">
        <v>36.799999999999997</v>
      </c>
      <c r="BA16" s="1">
        <v>34.6</v>
      </c>
      <c r="BB16" s="1">
        <v>32.299999999999997</v>
      </c>
      <c r="BC16" s="1">
        <v>35.9</v>
      </c>
      <c r="BD16" s="1">
        <v>33.799999999999997</v>
      </c>
      <c r="BE16" s="1">
        <v>33.5</v>
      </c>
      <c r="BF16" s="4">
        <v>34.1</v>
      </c>
      <c r="BG16" s="4">
        <f>44666/1601</f>
        <v>27.898813241723921</v>
      </c>
      <c r="BH16" s="4">
        <f>34898/1100</f>
        <v>31.725454545454546</v>
      </c>
      <c r="BI16" s="4">
        <f>29773/900</f>
        <v>33.081111111111113</v>
      </c>
      <c r="BJ16" s="1">
        <f>25383/811</f>
        <v>31.298397040690507</v>
      </c>
      <c r="BK16" s="1">
        <f>23346/700</f>
        <v>33.351428571428571</v>
      </c>
      <c r="BL16" s="1">
        <f>23748/700</f>
        <v>33.925714285714285</v>
      </c>
      <c r="BM16" s="1">
        <f>27447/819</f>
        <v>33.512820512820511</v>
      </c>
      <c r="BN16" s="1">
        <f>37615/1164</f>
        <v>32.315292096219935</v>
      </c>
      <c r="BO16" s="1">
        <f>43296/1200</f>
        <v>36.08</v>
      </c>
      <c r="BP16" s="1">
        <f>39383/900</f>
        <v>43.75888888888889</v>
      </c>
      <c r="BQ16" s="1">
        <v>36.1</v>
      </c>
      <c r="BR16" s="1">
        <v>39.200000000000003</v>
      </c>
      <c r="BS16" s="1">
        <f>80256/2400</f>
        <v>33.44</v>
      </c>
      <c r="BT16" s="1">
        <v>37.200000000000003</v>
      </c>
      <c r="BU16" s="29">
        <v>31.7</v>
      </c>
      <c r="BV16" s="29">
        <v>32.4</v>
      </c>
      <c r="BW16" s="29">
        <v>30.8</v>
      </c>
      <c r="BX16" s="29">
        <v>30.3</v>
      </c>
      <c r="BY16" s="29">
        <v>30.5</v>
      </c>
      <c r="BZ16" s="29"/>
      <c r="CA16" s="24">
        <f t="shared" si="0"/>
        <v>2124.6879202940527</v>
      </c>
    </row>
    <row r="17" spans="1:79" x14ac:dyDescent="0.2">
      <c r="A17">
        <v>15</v>
      </c>
      <c r="B17" s="13" t="s">
        <v>11</v>
      </c>
      <c r="C17" s="8" t="s">
        <v>31</v>
      </c>
      <c r="D17" s="1">
        <v>154.9</v>
      </c>
      <c r="E17" s="1">
        <f>(7946641+2638081+2944920)/(63618+29984+23958)</f>
        <v>115.08712146988772</v>
      </c>
      <c r="F17" s="1">
        <v>239.5</v>
      </c>
      <c r="G17" s="1">
        <v>199.8</v>
      </c>
      <c r="H17" s="1">
        <v>175.8</v>
      </c>
      <c r="I17" s="1">
        <v>175.5</v>
      </c>
      <c r="J17" s="1">
        <v>236.3</v>
      </c>
      <c r="K17" s="1">
        <v>181.6</v>
      </c>
      <c r="L17" s="1">
        <v>241.9</v>
      </c>
      <c r="M17" s="1">
        <v>213.3</v>
      </c>
      <c r="N17" s="1">
        <v>228.9</v>
      </c>
      <c r="O17" s="1">
        <v>235.2</v>
      </c>
      <c r="P17" s="1">
        <v>230.7</v>
      </c>
      <c r="Q17" s="1">
        <v>228.3</v>
      </c>
      <c r="R17" s="1">
        <v>252.9</v>
      </c>
      <c r="S17" s="1">
        <v>264.60000000000002</v>
      </c>
      <c r="T17" s="1">
        <v>207.7</v>
      </c>
      <c r="U17" s="1">
        <v>213.3</v>
      </c>
      <c r="V17" s="1">
        <v>260.7</v>
      </c>
      <c r="W17" s="1">
        <v>298.5</v>
      </c>
      <c r="X17" s="1">
        <v>267</v>
      </c>
      <c r="Y17" s="1">
        <v>261.60000000000002</v>
      </c>
      <c r="Z17" s="1">
        <v>248.7</v>
      </c>
      <c r="AA17" s="2">
        <v>282.5</v>
      </c>
      <c r="AB17" s="1">
        <v>278.7</v>
      </c>
      <c r="AC17" s="1">
        <v>300</v>
      </c>
      <c r="AD17" s="1">
        <v>316</v>
      </c>
      <c r="AE17" s="1">
        <v>240.1</v>
      </c>
      <c r="AF17" s="1">
        <v>287.5</v>
      </c>
      <c r="AG17" s="1">
        <v>259.8</v>
      </c>
      <c r="AH17" s="1">
        <v>280.60000000000002</v>
      </c>
      <c r="AI17" s="1">
        <v>317.10000000000002</v>
      </c>
      <c r="AJ17" s="1">
        <v>223.9</v>
      </c>
      <c r="AK17" s="1">
        <v>301.8</v>
      </c>
      <c r="AL17" s="1">
        <v>286.8</v>
      </c>
      <c r="AM17" s="1">
        <v>222</v>
      </c>
      <c r="AN17" s="1">
        <v>321.8</v>
      </c>
      <c r="AO17" s="1">
        <v>313</v>
      </c>
      <c r="AP17" s="1">
        <v>307.39999999999998</v>
      </c>
      <c r="AQ17" s="1">
        <v>217.2</v>
      </c>
      <c r="AR17" s="1">
        <v>322.3</v>
      </c>
      <c r="AS17" s="1">
        <v>312.7</v>
      </c>
      <c r="AT17" s="1">
        <v>290.2</v>
      </c>
      <c r="AU17" s="1">
        <v>268.10000000000002</v>
      </c>
      <c r="AV17" s="1">
        <v>334.3</v>
      </c>
      <c r="AW17" s="1">
        <v>381</v>
      </c>
      <c r="AX17" s="1">
        <v>304.3</v>
      </c>
      <c r="AY17" s="1">
        <v>283.5</v>
      </c>
      <c r="AZ17" s="1">
        <v>403.5</v>
      </c>
      <c r="BA17" s="1">
        <v>323.89999999999998</v>
      </c>
      <c r="BB17" s="1">
        <v>339.8</v>
      </c>
      <c r="BC17" s="1">
        <v>289.5</v>
      </c>
      <c r="BD17" s="1">
        <v>394.2</v>
      </c>
      <c r="BE17" s="1">
        <v>353.9</v>
      </c>
      <c r="BF17" s="4">
        <v>339.7</v>
      </c>
      <c r="BG17" s="4">
        <v>268.89999999999998</v>
      </c>
      <c r="BH17" s="4">
        <v>358.4</v>
      </c>
      <c r="BI17" s="4">
        <v>345.5</v>
      </c>
      <c r="BJ17" s="1">
        <v>319.8</v>
      </c>
      <c r="BK17" s="1">
        <v>349.9</v>
      </c>
      <c r="BL17" s="1">
        <v>357.2</v>
      </c>
      <c r="BM17" s="1">
        <v>369</v>
      </c>
      <c r="BN17" s="1">
        <v>346.8</v>
      </c>
      <c r="BO17" s="1">
        <v>431.6</v>
      </c>
      <c r="BP17" s="1">
        <v>419</v>
      </c>
      <c r="BQ17" s="1">
        <v>364.9</v>
      </c>
      <c r="BR17" s="1">
        <v>473.2</v>
      </c>
      <c r="BS17" s="1">
        <v>369.4</v>
      </c>
      <c r="BT17" s="1">
        <v>313.7</v>
      </c>
      <c r="BU17" s="29">
        <v>444.3</v>
      </c>
      <c r="BV17" s="29">
        <v>369.2</v>
      </c>
      <c r="BW17" s="29">
        <v>395.7</v>
      </c>
      <c r="BX17" s="29">
        <v>337.6</v>
      </c>
      <c r="BY17" s="29">
        <v>375.7</v>
      </c>
      <c r="BZ17" s="29"/>
      <c r="CA17" s="24">
        <f t="shared" si="0"/>
        <v>21838.687121469888</v>
      </c>
    </row>
    <row r="18" spans="1:79" x14ac:dyDescent="0.2">
      <c r="A18">
        <v>16</v>
      </c>
      <c r="B18" s="13" t="s">
        <v>24</v>
      </c>
      <c r="C18" s="8" t="s">
        <v>31</v>
      </c>
      <c r="D18" s="1">
        <v>344.2</v>
      </c>
      <c r="E18" s="1">
        <f>(1843505+49324+35870)/(9015+318+173)</f>
        <v>202.8928045444982</v>
      </c>
      <c r="F18" s="1">
        <v>398.1</v>
      </c>
      <c r="G18" s="1">
        <v>320.7</v>
      </c>
      <c r="H18" s="1">
        <v>282.3</v>
      </c>
      <c r="I18" s="1">
        <v>388.7</v>
      </c>
      <c r="J18" s="1">
        <v>404.4</v>
      </c>
      <c r="K18" s="1">
        <v>382.6</v>
      </c>
      <c r="L18" s="1">
        <v>397.7</v>
      </c>
      <c r="M18" s="1">
        <v>422.8</v>
      </c>
      <c r="N18" s="1">
        <v>443.9</v>
      </c>
      <c r="O18" s="1">
        <v>342.4</v>
      </c>
      <c r="P18" s="1">
        <v>476.8</v>
      </c>
      <c r="Q18" s="1">
        <v>429.1</v>
      </c>
      <c r="R18" s="1">
        <v>375.9</v>
      </c>
      <c r="S18" s="1">
        <v>458.5</v>
      </c>
      <c r="T18" s="1">
        <v>382.7</v>
      </c>
      <c r="U18" s="1">
        <v>409.8</v>
      </c>
      <c r="V18" s="1">
        <v>494.9</v>
      </c>
      <c r="W18" s="1">
        <v>495.8</v>
      </c>
      <c r="X18" s="1">
        <v>495</v>
      </c>
      <c r="Y18" s="1">
        <v>475.9</v>
      </c>
      <c r="Z18" s="1">
        <v>460.2</v>
      </c>
      <c r="AA18" s="2">
        <v>433.4</v>
      </c>
      <c r="AB18" s="1">
        <v>490</v>
      </c>
      <c r="AC18" s="1">
        <v>502.5</v>
      </c>
      <c r="AD18" s="1">
        <v>499.2</v>
      </c>
      <c r="AE18" s="1">
        <v>493.3</v>
      </c>
      <c r="AF18" s="1">
        <v>461.8</v>
      </c>
      <c r="AG18" s="1">
        <v>504.8</v>
      </c>
      <c r="AH18" s="1">
        <v>497.5</v>
      </c>
      <c r="AI18" s="1">
        <v>502.9</v>
      </c>
      <c r="AJ18" s="1">
        <v>502.4</v>
      </c>
      <c r="AK18" s="1">
        <v>532.1</v>
      </c>
      <c r="AL18" s="1">
        <v>545.29999999999995</v>
      </c>
      <c r="AM18" s="1">
        <v>421.7</v>
      </c>
      <c r="AN18" s="1">
        <v>532.6</v>
      </c>
      <c r="AO18" s="1">
        <v>521.6</v>
      </c>
      <c r="AP18" s="1">
        <v>550.20000000000005</v>
      </c>
      <c r="AQ18" s="1">
        <v>545.1</v>
      </c>
      <c r="AR18" s="1">
        <v>537.6</v>
      </c>
      <c r="AS18" s="1">
        <v>540.79999999999995</v>
      </c>
      <c r="AT18" s="1">
        <v>519.4</v>
      </c>
      <c r="AU18" s="1">
        <v>486.9</v>
      </c>
      <c r="AV18" s="1">
        <v>554.1</v>
      </c>
      <c r="AW18" s="1">
        <v>621.4</v>
      </c>
      <c r="AX18" s="1">
        <v>556.79999999999995</v>
      </c>
      <c r="AY18" s="1">
        <v>572.5</v>
      </c>
      <c r="AZ18" s="1">
        <v>593.29999999999995</v>
      </c>
      <c r="BA18" s="1">
        <v>568.1</v>
      </c>
      <c r="BB18" s="1">
        <v>579</v>
      </c>
      <c r="BC18" s="1">
        <v>603.20000000000005</v>
      </c>
      <c r="BD18" s="1">
        <v>676.6</v>
      </c>
      <c r="BE18" s="1">
        <v>585.70000000000005</v>
      </c>
      <c r="BF18" s="4">
        <v>665.5</v>
      </c>
      <c r="BG18" s="4">
        <v>479.4</v>
      </c>
      <c r="BH18" s="4">
        <v>646.6</v>
      </c>
      <c r="BI18" s="4">
        <v>659.1</v>
      </c>
      <c r="BJ18" s="1">
        <v>665.9</v>
      </c>
      <c r="BK18" s="1">
        <v>644.20000000000005</v>
      </c>
      <c r="BL18" s="1">
        <v>667.8</v>
      </c>
      <c r="BM18" s="1">
        <v>727.2</v>
      </c>
      <c r="BN18" s="1">
        <v>689.9</v>
      </c>
      <c r="BO18" s="1">
        <v>802.5</v>
      </c>
      <c r="BP18" s="1">
        <v>724.9</v>
      </c>
      <c r="BQ18" s="1">
        <v>753.9</v>
      </c>
      <c r="BR18" s="1">
        <v>878.4</v>
      </c>
      <c r="BS18" s="1">
        <v>673.8</v>
      </c>
      <c r="BT18" s="1">
        <v>780.5</v>
      </c>
      <c r="BU18" s="29">
        <v>879.7</v>
      </c>
      <c r="BV18" s="29">
        <v>608.9</v>
      </c>
      <c r="BW18" s="29">
        <v>807</v>
      </c>
      <c r="BX18" s="29">
        <v>691.9</v>
      </c>
      <c r="BY18" s="29">
        <v>840.5</v>
      </c>
      <c r="BZ18" s="29"/>
      <c r="CA18" s="24">
        <f t="shared" si="0"/>
        <v>40104.692804544502</v>
      </c>
    </row>
    <row r="19" spans="1:79" x14ac:dyDescent="0.2">
      <c r="A19">
        <v>17</v>
      </c>
      <c r="B19" s="13" t="s">
        <v>36</v>
      </c>
      <c r="C19" s="8" t="s">
        <v>31</v>
      </c>
      <c r="D19" s="1" t="s">
        <v>1</v>
      </c>
      <c r="E19" s="1" t="s">
        <v>1</v>
      </c>
      <c r="F19" s="1">
        <v>14</v>
      </c>
      <c r="G19" s="1">
        <v>12.9</v>
      </c>
      <c r="H19" s="1">
        <v>12</v>
      </c>
      <c r="I19" s="1">
        <v>12.9</v>
      </c>
      <c r="J19" s="1">
        <v>12.2</v>
      </c>
      <c r="K19" s="1">
        <v>12.4</v>
      </c>
      <c r="L19" s="1">
        <v>12.1</v>
      </c>
      <c r="M19" s="1">
        <v>16</v>
      </c>
      <c r="N19" s="1">
        <v>16.3</v>
      </c>
      <c r="O19" s="1">
        <v>17.3</v>
      </c>
      <c r="P19" s="1">
        <v>17.899999999999999</v>
      </c>
      <c r="Q19" s="1">
        <v>17.100000000000001</v>
      </c>
      <c r="R19" s="1">
        <v>19.3</v>
      </c>
      <c r="S19" s="1">
        <v>19.899999999999999</v>
      </c>
      <c r="T19" s="1">
        <v>19.100000000000001</v>
      </c>
      <c r="U19" s="1">
        <v>18.7</v>
      </c>
      <c r="V19" s="1">
        <v>19.8</v>
      </c>
      <c r="W19" s="1">
        <v>21.7</v>
      </c>
      <c r="X19" s="1">
        <v>21.4</v>
      </c>
      <c r="Y19" s="1">
        <v>21.1</v>
      </c>
      <c r="Z19" s="1">
        <v>21.2</v>
      </c>
      <c r="AA19" s="2">
        <v>22.3</v>
      </c>
      <c r="AB19" s="1">
        <v>21.4</v>
      </c>
      <c r="AC19" s="1">
        <v>21.8</v>
      </c>
      <c r="AD19" s="1">
        <v>23.2</v>
      </c>
      <c r="AE19" s="1">
        <v>21.2</v>
      </c>
      <c r="AF19" s="1">
        <v>20.100000000000001</v>
      </c>
      <c r="AG19" s="1">
        <v>21.9</v>
      </c>
      <c r="AH19" s="1">
        <v>23.6</v>
      </c>
      <c r="AI19" s="1">
        <v>23.5</v>
      </c>
      <c r="AJ19" s="1">
        <v>24.5</v>
      </c>
      <c r="AK19" s="1">
        <v>25.3</v>
      </c>
      <c r="AL19" s="1">
        <v>24.6</v>
      </c>
      <c r="AM19" s="1">
        <v>23.8</v>
      </c>
      <c r="AN19" s="1">
        <v>26.7</v>
      </c>
      <c r="AO19" s="1">
        <v>28.1</v>
      </c>
      <c r="AP19" s="1">
        <v>27.7</v>
      </c>
      <c r="AQ19" s="1">
        <v>29.3</v>
      </c>
      <c r="AR19" s="1">
        <v>32.799999999999997</v>
      </c>
      <c r="AS19" s="1">
        <v>31.1</v>
      </c>
      <c r="AT19" s="1">
        <v>27.7</v>
      </c>
      <c r="AU19" s="1">
        <v>32.1</v>
      </c>
      <c r="AV19" s="1">
        <v>26.1</v>
      </c>
      <c r="AW19" s="1">
        <v>28.4</v>
      </c>
      <c r="AX19" s="1">
        <v>25.3</v>
      </c>
      <c r="AY19" s="1">
        <v>28.9</v>
      </c>
      <c r="AZ19" s="1">
        <v>26.6</v>
      </c>
      <c r="BA19" s="1">
        <v>29.9</v>
      </c>
      <c r="BB19" s="1">
        <v>33</v>
      </c>
      <c r="BC19" s="1">
        <v>33.299999999999997</v>
      </c>
      <c r="BD19" s="1">
        <v>33.700000000000003</v>
      </c>
      <c r="BE19" s="4">
        <v>34.6</v>
      </c>
      <c r="BF19" s="4">
        <v>31.7</v>
      </c>
      <c r="BG19" s="4">
        <f>1850367/70143</f>
        <v>26.37992386980882</v>
      </c>
      <c r="BH19" s="4">
        <f>2448522/64700</f>
        <v>37.844234930448224</v>
      </c>
      <c r="BI19" s="4">
        <f>2588523/69700</f>
        <v>37.138063127690103</v>
      </c>
      <c r="BJ19" s="4">
        <f>2545840/69974</f>
        <v>36.382656415239943</v>
      </c>
      <c r="BK19" s="4">
        <f>2999603/71800</f>
        <v>41.777200557103065</v>
      </c>
      <c r="BL19" s="4">
        <f>2674236/71800</f>
        <v>37.245626740947074</v>
      </c>
      <c r="BM19" s="4">
        <f>3179909/76408</f>
        <v>41.617487697623282</v>
      </c>
      <c r="BN19" s="4">
        <f>2664272/68848</f>
        <v>38.697885196374621</v>
      </c>
      <c r="BO19" s="4">
        <v>26.5</v>
      </c>
      <c r="BP19" s="1">
        <v>33.299999999999997</v>
      </c>
      <c r="BQ19" s="1">
        <v>36.799999999999997</v>
      </c>
      <c r="BR19" s="4">
        <v>47</v>
      </c>
      <c r="BS19" s="1">
        <v>40.6</v>
      </c>
      <c r="BT19" s="1">
        <v>39.700000000000003</v>
      </c>
      <c r="BU19" s="29">
        <v>38.299999999999997</v>
      </c>
      <c r="BV19" s="29">
        <v>38.299999999999997</v>
      </c>
      <c r="BW19" s="29">
        <v>37.4</v>
      </c>
      <c r="BX19" s="29">
        <v>41.9</v>
      </c>
      <c r="BY19" s="29">
        <v>35.799999999999997</v>
      </c>
      <c r="BZ19" s="29"/>
      <c r="CA19" s="24">
        <f t="shared" si="0"/>
        <v>1932.1830785352354</v>
      </c>
    </row>
    <row r="20" spans="1:79" x14ac:dyDescent="0.2">
      <c r="A20">
        <v>18</v>
      </c>
      <c r="B20" s="13" t="s">
        <v>47</v>
      </c>
      <c r="C20" s="8" t="s">
        <v>31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2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1"/>
      <c r="BQ20" s="1"/>
      <c r="BR20" s="4"/>
      <c r="BS20" s="1"/>
      <c r="BT20" s="1">
        <v>26.2</v>
      </c>
      <c r="BU20" s="29">
        <v>37.1</v>
      </c>
      <c r="BV20" s="29">
        <v>25.6</v>
      </c>
      <c r="BW20" s="29">
        <v>29.8</v>
      </c>
      <c r="BX20" s="29">
        <v>22.5</v>
      </c>
      <c r="BY20" s="29">
        <v>31.8</v>
      </c>
      <c r="BZ20" s="29"/>
      <c r="CA20" s="24">
        <f t="shared" si="0"/>
        <v>173</v>
      </c>
    </row>
    <row r="21" spans="1:79" x14ac:dyDescent="0.2">
      <c r="A21">
        <v>19</v>
      </c>
      <c r="B21" s="13" t="s">
        <v>25</v>
      </c>
      <c r="C21" s="8" t="s">
        <v>31</v>
      </c>
      <c r="D21" s="1">
        <v>17.399999999999999</v>
      </c>
      <c r="E21" s="1">
        <f>(65058+12319+9760)/(4486+1192+969)</f>
        <v>13.109222205506244</v>
      </c>
      <c r="F21" s="1">
        <v>16.5</v>
      </c>
      <c r="G21" s="1">
        <v>15.7</v>
      </c>
      <c r="H21" s="1">
        <v>15.8</v>
      </c>
      <c r="I21" s="1">
        <v>15.4</v>
      </c>
      <c r="J21" s="4">
        <v>15.8</v>
      </c>
      <c r="K21" s="4">
        <v>17.899999999999999</v>
      </c>
      <c r="L21" s="1">
        <v>18.7</v>
      </c>
      <c r="M21" s="1">
        <v>18.3</v>
      </c>
      <c r="N21" s="4">
        <v>18.7</v>
      </c>
      <c r="O21" s="4">
        <v>17.899999999999999</v>
      </c>
      <c r="P21" s="1">
        <v>18.3</v>
      </c>
      <c r="Q21" s="1">
        <v>17.399999999999999</v>
      </c>
      <c r="R21" s="1">
        <v>19.7</v>
      </c>
      <c r="S21" s="1">
        <v>20.3</v>
      </c>
      <c r="T21" s="1">
        <v>19.5</v>
      </c>
      <c r="U21" s="1">
        <v>18.899999999999999</v>
      </c>
      <c r="V21" s="1">
        <v>20</v>
      </c>
      <c r="W21" s="1">
        <v>21.9</v>
      </c>
      <c r="X21" s="1">
        <v>21.6</v>
      </c>
      <c r="Y21" s="1">
        <v>21.1</v>
      </c>
      <c r="Z21" s="1">
        <v>21.3</v>
      </c>
      <c r="AA21" s="2">
        <v>22.4</v>
      </c>
      <c r="AB21" s="1">
        <v>21.5</v>
      </c>
      <c r="AC21" s="1">
        <v>21.8</v>
      </c>
      <c r="AD21" s="1">
        <v>23.2</v>
      </c>
      <c r="AE21" s="1">
        <v>22.5</v>
      </c>
      <c r="AF21" s="1">
        <v>22.2</v>
      </c>
      <c r="AG21" s="1">
        <v>22.5</v>
      </c>
      <c r="AH21" s="1">
        <v>24.3</v>
      </c>
      <c r="AI21" s="4">
        <v>24.6</v>
      </c>
      <c r="AJ21" s="4">
        <v>25.6</v>
      </c>
      <c r="AK21" s="4">
        <v>26.2</v>
      </c>
      <c r="AL21" s="4">
        <v>25.1</v>
      </c>
      <c r="AM21" s="1">
        <v>24.3</v>
      </c>
      <c r="AN21" s="1">
        <v>27.1</v>
      </c>
      <c r="AO21" s="1">
        <v>28.5</v>
      </c>
      <c r="AP21" s="1">
        <v>28</v>
      </c>
      <c r="AQ21" s="1">
        <v>29.6</v>
      </c>
      <c r="AR21" s="1">
        <v>33.299999999999997</v>
      </c>
      <c r="AS21" s="1">
        <v>31.4</v>
      </c>
      <c r="AT21" s="1">
        <v>28</v>
      </c>
      <c r="AU21" s="1">
        <v>32.299999999999997</v>
      </c>
      <c r="AV21" s="1">
        <v>26.4</v>
      </c>
      <c r="AW21" s="1">
        <v>28.8</v>
      </c>
      <c r="AX21" s="1">
        <v>26.2</v>
      </c>
      <c r="AY21" s="1">
        <v>29.6</v>
      </c>
      <c r="AZ21" s="1">
        <v>27.2</v>
      </c>
      <c r="BA21" s="1">
        <v>31</v>
      </c>
      <c r="BB21" s="1">
        <v>34.6</v>
      </c>
      <c r="BC21" s="1">
        <v>34.200000000000003</v>
      </c>
      <c r="BD21" s="1">
        <v>34.299999999999997</v>
      </c>
      <c r="BE21" s="1">
        <v>35.1</v>
      </c>
      <c r="BF21" s="1">
        <v>32.1</v>
      </c>
      <c r="BG21" s="1">
        <v>26.6</v>
      </c>
      <c r="BH21" s="1">
        <v>38.299999999999997</v>
      </c>
      <c r="BI21" s="1">
        <v>37.6</v>
      </c>
      <c r="BJ21" s="1">
        <v>39.9</v>
      </c>
      <c r="BK21" s="1">
        <v>42.1</v>
      </c>
      <c r="BL21" s="1">
        <v>37.4</v>
      </c>
      <c r="BM21" s="1">
        <v>41.8</v>
      </c>
      <c r="BN21" s="1">
        <v>38.799999999999997</v>
      </c>
      <c r="BO21" s="1">
        <v>26.5</v>
      </c>
      <c r="BP21" s="1">
        <v>33.4</v>
      </c>
      <c r="BQ21" s="1">
        <f>2224572/60200</f>
        <v>36.953023255813953</v>
      </c>
      <c r="BR21" s="1">
        <v>47.3</v>
      </c>
      <c r="BS21" s="1">
        <v>40.799999999999997</v>
      </c>
      <c r="BT21" s="1">
        <v>39.4</v>
      </c>
      <c r="BU21" s="29">
        <v>38.4</v>
      </c>
      <c r="BV21" s="29">
        <v>38.299999999999997</v>
      </c>
      <c r="BW21" s="29">
        <v>37.5</v>
      </c>
      <c r="BX21" s="29">
        <v>42</v>
      </c>
      <c r="BY21" s="29">
        <v>35.9</v>
      </c>
      <c r="BZ21" s="29"/>
      <c r="CA21" s="24">
        <f t="shared" si="0"/>
        <v>2024.0622454613199</v>
      </c>
    </row>
    <row r="22" spans="1:79" x14ac:dyDescent="0.2">
      <c r="A22">
        <v>20</v>
      </c>
      <c r="B22" s="13" t="s">
        <v>10</v>
      </c>
      <c r="C22" s="8" t="s">
        <v>31</v>
      </c>
      <c r="D22" s="1" t="s">
        <v>1</v>
      </c>
      <c r="E22" s="1" t="s">
        <v>1</v>
      </c>
      <c r="F22" s="1">
        <v>381.8</v>
      </c>
      <c r="G22" s="1">
        <v>383.2</v>
      </c>
      <c r="H22" s="1">
        <v>236.3</v>
      </c>
      <c r="I22" s="1">
        <v>341.3</v>
      </c>
      <c r="J22" s="1">
        <v>396.4</v>
      </c>
      <c r="K22" s="1">
        <v>410.5</v>
      </c>
      <c r="L22" s="1">
        <v>395.3</v>
      </c>
      <c r="M22" s="1">
        <v>402.2</v>
      </c>
      <c r="N22" s="1">
        <v>434.5</v>
      </c>
      <c r="O22" s="1">
        <v>352.3</v>
      </c>
      <c r="P22" s="1">
        <v>400.8</v>
      </c>
      <c r="Q22" s="1">
        <v>413</v>
      </c>
      <c r="R22" s="1">
        <v>374.4</v>
      </c>
      <c r="S22" s="1">
        <v>397.7</v>
      </c>
      <c r="T22" s="1">
        <v>299</v>
      </c>
      <c r="U22" s="1">
        <v>378.1</v>
      </c>
      <c r="V22" s="1">
        <v>411.4</v>
      </c>
      <c r="W22" s="1">
        <v>436.5</v>
      </c>
      <c r="X22" s="1">
        <v>411.4</v>
      </c>
      <c r="Y22" s="1">
        <v>423.6</v>
      </c>
      <c r="Z22" s="1">
        <v>454.1</v>
      </c>
      <c r="AA22" s="2">
        <v>396.6</v>
      </c>
      <c r="AB22" s="1">
        <v>430</v>
      </c>
      <c r="AC22" s="1">
        <v>461.7</v>
      </c>
      <c r="AD22" s="1">
        <v>461.3</v>
      </c>
      <c r="AE22" s="1">
        <v>470.7</v>
      </c>
      <c r="AF22" s="1">
        <v>376.6</v>
      </c>
      <c r="AG22" s="1">
        <v>489.5</v>
      </c>
      <c r="AH22" s="1">
        <v>441.5</v>
      </c>
      <c r="AI22" s="1">
        <v>510.2</v>
      </c>
      <c r="AJ22" s="1">
        <v>408.1</v>
      </c>
      <c r="AK22" s="1">
        <v>459.7</v>
      </c>
      <c r="AL22" s="1">
        <v>520.4</v>
      </c>
      <c r="AM22" s="1">
        <v>394.2</v>
      </c>
      <c r="AN22" s="1">
        <v>460.8</v>
      </c>
      <c r="AO22" s="1">
        <v>475.4</v>
      </c>
      <c r="AP22" s="1">
        <v>496.2</v>
      </c>
      <c r="AQ22" s="1">
        <v>446</v>
      </c>
      <c r="AR22" s="1">
        <v>505.5</v>
      </c>
      <c r="AS22" s="1">
        <v>493.9</v>
      </c>
      <c r="AT22" s="1">
        <v>448.1</v>
      </c>
      <c r="AU22" s="1">
        <v>427.9</v>
      </c>
      <c r="AV22" s="1">
        <v>475.4</v>
      </c>
      <c r="AW22" s="1">
        <v>505.5</v>
      </c>
      <c r="AX22" s="1">
        <v>456.2</v>
      </c>
      <c r="AY22" s="1">
        <v>428.3</v>
      </c>
      <c r="AZ22" s="1">
        <v>484.4</v>
      </c>
      <c r="BA22" s="1">
        <v>465.7</v>
      </c>
      <c r="BB22" s="1">
        <v>469.1</v>
      </c>
      <c r="BC22" s="1">
        <v>457.7</v>
      </c>
      <c r="BD22" s="1">
        <v>474.1</v>
      </c>
      <c r="BE22" s="1">
        <v>445.5</v>
      </c>
      <c r="BF22" s="1">
        <v>467.3</v>
      </c>
      <c r="BG22" s="1">
        <v>403.4</v>
      </c>
      <c r="BH22" s="1">
        <v>447.2</v>
      </c>
      <c r="BI22" s="1">
        <v>462</v>
      </c>
      <c r="BJ22" s="1">
        <v>439.4</v>
      </c>
      <c r="BK22" s="1">
        <v>469.5</v>
      </c>
      <c r="BL22" s="1">
        <v>474.8</v>
      </c>
      <c r="BM22" s="1">
        <v>484.4</v>
      </c>
      <c r="BN22" s="1">
        <v>439.1</v>
      </c>
      <c r="BO22" s="1">
        <v>484.8</v>
      </c>
      <c r="BP22" s="1">
        <v>471.3</v>
      </c>
      <c r="BQ22" s="1">
        <f>52408885/122900</f>
        <v>426.43519121236778</v>
      </c>
      <c r="BR22" s="1">
        <v>485.3</v>
      </c>
      <c r="BS22" s="1">
        <v>393.2</v>
      </c>
      <c r="BT22" s="1">
        <v>425.5</v>
      </c>
      <c r="BU22" s="29">
        <v>485.6</v>
      </c>
      <c r="BV22" s="29">
        <v>437.8</v>
      </c>
      <c r="BW22" s="29">
        <v>476.8</v>
      </c>
      <c r="BX22" s="29">
        <v>449.2</v>
      </c>
      <c r="BY22" s="29">
        <v>475.7</v>
      </c>
      <c r="BZ22" s="29"/>
      <c r="CA22" s="24">
        <f t="shared" si="0"/>
        <v>31468.73519121237</v>
      </c>
    </row>
    <row r="23" spans="1:79" x14ac:dyDescent="0.2">
      <c r="A23">
        <v>21</v>
      </c>
      <c r="B23" s="13" t="s">
        <v>9</v>
      </c>
      <c r="C23" s="8" t="s">
        <v>31</v>
      </c>
      <c r="D23" s="1">
        <v>49.4</v>
      </c>
      <c r="E23" s="1">
        <f>(19932692+11734141+10157330)/(420070+320013+272443)</f>
        <v>41.306754591980848</v>
      </c>
      <c r="F23" s="1">
        <v>53.3</v>
      </c>
      <c r="G23" s="1">
        <v>65</v>
      </c>
      <c r="H23" s="1">
        <v>47.8</v>
      </c>
      <c r="I23" s="1">
        <v>60.8</v>
      </c>
      <c r="J23" s="1">
        <v>62</v>
      </c>
      <c r="K23" s="1">
        <v>62.2</v>
      </c>
      <c r="L23" s="1">
        <v>62.2</v>
      </c>
      <c r="M23" s="1">
        <v>62.2</v>
      </c>
      <c r="N23" s="1">
        <v>69.7</v>
      </c>
      <c r="O23" s="1">
        <v>60.9</v>
      </c>
      <c r="P23" s="1">
        <v>69.099999999999994</v>
      </c>
      <c r="Q23" s="1">
        <v>73.5</v>
      </c>
      <c r="R23" s="1">
        <v>62</v>
      </c>
      <c r="S23" s="1">
        <v>73.2</v>
      </c>
      <c r="T23" s="1">
        <v>60.1</v>
      </c>
      <c r="U23" s="1">
        <v>72.599999999999994</v>
      </c>
      <c r="V23" s="1">
        <v>75.8</v>
      </c>
      <c r="W23" s="1">
        <v>75.8</v>
      </c>
      <c r="X23" s="1">
        <v>76.900000000000006</v>
      </c>
      <c r="Y23" s="1">
        <v>78.7</v>
      </c>
      <c r="Z23" s="1">
        <v>74.400000000000006</v>
      </c>
      <c r="AA23" s="2">
        <v>71</v>
      </c>
      <c r="AB23" s="1">
        <v>72.5</v>
      </c>
      <c r="AC23" s="1">
        <v>76.599999999999994</v>
      </c>
      <c r="AD23" s="1">
        <v>75.7</v>
      </c>
      <c r="AE23" s="1">
        <v>77.2</v>
      </c>
      <c r="AF23" s="1">
        <v>63.1</v>
      </c>
      <c r="AG23" s="1">
        <v>71.2</v>
      </c>
      <c r="AH23" s="1">
        <v>78.8</v>
      </c>
      <c r="AI23" s="1">
        <v>79.5</v>
      </c>
      <c r="AJ23" s="1">
        <v>73.900000000000006</v>
      </c>
      <c r="AK23" s="1">
        <v>73.900000000000006</v>
      </c>
      <c r="AL23" s="1">
        <v>77.8</v>
      </c>
      <c r="AM23" s="1">
        <v>65.400000000000006</v>
      </c>
      <c r="AN23" s="1">
        <v>72.5</v>
      </c>
      <c r="AO23" s="1">
        <v>71</v>
      </c>
      <c r="AP23" s="1">
        <v>73.7</v>
      </c>
      <c r="AQ23" s="1">
        <v>74.5</v>
      </c>
      <c r="AR23" s="1">
        <v>76.8</v>
      </c>
      <c r="AS23" s="1">
        <v>74.099999999999994</v>
      </c>
      <c r="AT23" s="1">
        <v>69.7</v>
      </c>
      <c r="AU23" s="1">
        <v>64.2</v>
      </c>
      <c r="AV23" s="1">
        <v>69.7</v>
      </c>
      <c r="AW23" s="1">
        <v>75</v>
      </c>
      <c r="AX23" s="1">
        <v>75</v>
      </c>
      <c r="AY23" s="1">
        <v>74</v>
      </c>
      <c r="AZ23" s="1">
        <v>72.900000000000006</v>
      </c>
      <c r="BA23" s="1">
        <v>74.5</v>
      </c>
      <c r="BB23" s="1">
        <v>71.7</v>
      </c>
      <c r="BC23" s="1">
        <v>76.7</v>
      </c>
      <c r="BD23" s="1">
        <v>76.7</v>
      </c>
      <c r="BE23" s="1">
        <v>75.599999999999994</v>
      </c>
      <c r="BF23" s="1">
        <v>75.400000000000006</v>
      </c>
      <c r="BG23" s="1">
        <v>54.9</v>
      </c>
      <c r="BH23" s="1">
        <v>70.2</v>
      </c>
      <c r="BI23" s="1">
        <v>72.3</v>
      </c>
      <c r="BJ23" s="1">
        <v>68.7</v>
      </c>
      <c r="BK23" s="1">
        <v>73.5</v>
      </c>
      <c r="BL23" s="1">
        <v>71.8</v>
      </c>
      <c r="BM23" s="1">
        <v>73.5</v>
      </c>
      <c r="BN23" s="1">
        <v>58.1</v>
      </c>
      <c r="BO23" s="1">
        <v>58</v>
      </c>
      <c r="BP23" s="1">
        <v>63.5</v>
      </c>
      <c r="BQ23" s="1">
        <v>58.5</v>
      </c>
      <c r="BR23" s="1">
        <v>58.8</v>
      </c>
      <c r="BS23" s="1">
        <f>(17483452+7248699+459017)/(360200+152800+9200)</f>
        <v>48.240459594025275</v>
      </c>
      <c r="BT23" s="1">
        <v>59.4</v>
      </c>
      <c r="BU23" s="1">
        <v>59.7</v>
      </c>
      <c r="BV23" s="1">
        <v>47.1</v>
      </c>
      <c r="BW23" s="1">
        <v>58</v>
      </c>
      <c r="BX23" s="1">
        <v>53.4</v>
      </c>
      <c r="BY23" s="1">
        <v>6.1</v>
      </c>
      <c r="BZ23" s="1"/>
      <c r="CA23" s="24">
        <f t="shared" si="0"/>
        <v>4952.947214186006</v>
      </c>
    </row>
    <row r="24" spans="1:79" x14ac:dyDescent="0.2">
      <c r="A24">
        <v>22</v>
      </c>
      <c r="B24" s="13" t="s">
        <v>53</v>
      </c>
      <c r="C24" s="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2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>
        <f>(2396198+298982)/(28300+3700)</f>
        <v>84.224374999999995</v>
      </c>
      <c r="BE24" s="1">
        <f>(2235844+290768)/(26900+3600)</f>
        <v>82.839737704918036</v>
      </c>
      <c r="BF24" s="1">
        <f>(2105500+223351)/(25400+2800)</f>
        <v>82.583368794326248</v>
      </c>
      <c r="BG24" s="1">
        <f>(1414718+131312)/(22800+2100)</f>
        <v>62.089558232931729</v>
      </c>
      <c r="BH24" s="1">
        <f>(1905671+157514)/(24400+2100)</f>
        <v>77.856037735849057</v>
      </c>
      <c r="BI24" s="1">
        <f>(2594337+176720)/(32600+2300)</f>
        <v>79.399914040114609</v>
      </c>
      <c r="BJ24" s="1">
        <f>(2566595+144395)/(33259+1896)</f>
        <v>77.115346323424831</v>
      </c>
      <c r="BK24" s="1">
        <f>(2661562+155054)/(32800+2000)</f>
        <v>80.93724137931035</v>
      </c>
      <c r="BL24" s="1">
        <f>(2469670+120864)/(31400+1600)</f>
        <v>78.501030303030305</v>
      </c>
      <c r="BM24" s="1">
        <f>2341333/33613</f>
        <v>69.655579686430841</v>
      </c>
      <c r="BN24" s="1">
        <f>2283982/35900</f>
        <v>63.620668523676883</v>
      </c>
      <c r="BO24" s="1">
        <f>2442877/36700</f>
        <v>66.563405994550408</v>
      </c>
      <c r="BP24" s="1">
        <f>2246595/34300</f>
        <v>65.498396501457719</v>
      </c>
      <c r="BQ24" s="1">
        <f>2130746/32900</f>
        <v>64.764316109422495</v>
      </c>
      <c r="BR24" s="1">
        <f>2156796/33000</f>
        <v>65.357454545454544</v>
      </c>
      <c r="BS24" s="1">
        <f>2337451/36300</f>
        <v>64.392589531680443</v>
      </c>
      <c r="BT24" s="1">
        <f>2625023/38200</f>
        <v>68.717879581151834</v>
      </c>
      <c r="BU24" s="1">
        <v>75.099999999999994</v>
      </c>
      <c r="BV24" s="1">
        <v>59.8</v>
      </c>
      <c r="BW24" s="1">
        <v>70</v>
      </c>
      <c r="BX24" s="1">
        <v>63.6</v>
      </c>
      <c r="BY24" s="1">
        <v>71</v>
      </c>
      <c r="BZ24" s="1"/>
      <c r="CA24" s="24">
        <f t="shared" si="0"/>
        <v>1573.6168999877302</v>
      </c>
    </row>
    <row r="25" spans="1:79" x14ac:dyDescent="0.2">
      <c r="A25">
        <v>23</v>
      </c>
      <c r="B25" s="13" t="s">
        <v>52</v>
      </c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>
        <v>76.099999999999994</v>
      </c>
      <c r="BE25" s="1">
        <v>77.8</v>
      </c>
      <c r="BF25" s="1">
        <v>77.5</v>
      </c>
      <c r="BG25" s="1">
        <f>92829/1700</f>
        <v>54.605294117647055</v>
      </c>
      <c r="BH25" s="1">
        <f>171971/2400</f>
        <v>71.654583333333335</v>
      </c>
      <c r="BI25" s="1">
        <f>419772/5700</f>
        <v>73.644210526315788</v>
      </c>
      <c r="BJ25" s="1">
        <f>438119/5931</f>
        <v>73.869330635643237</v>
      </c>
      <c r="BK25" s="1">
        <f>587411/8000</f>
        <v>73.426374999999993</v>
      </c>
      <c r="BL25" s="1">
        <f>783479/10400</f>
        <v>75.334519230769232</v>
      </c>
      <c r="BM25" s="1">
        <f>741925/11443</f>
        <v>64.836581316088441</v>
      </c>
      <c r="BN25" s="1">
        <f>764608/12200</f>
        <v>62.672786885245898</v>
      </c>
      <c r="BO25" s="1">
        <f>851553/12900</f>
        <v>66.011860465116285</v>
      </c>
      <c r="BP25" s="1">
        <f>873187/13000</f>
        <v>67.168230769230775</v>
      </c>
      <c r="BQ25" s="1">
        <f>729664/11800</f>
        <v>61.835932203389831</v>
      </c>
      <c r="BR25" s="1">
        <f>809580/12400</f>
        <v>65.288709677419348</v>
      </c>
      <c r="BS25" s="1">
        <f>459017/9200</f>
        <v>49.893152173913045</v>
      </c>
      <c r="BT25" s="1">
        <f>824194/10900</f>
        <v>75.614128440366969</v>
      </c>
      <c r="BU25" s="1">
        <v>64.599999999999994</v>
      </c>
      <c r="BV25" s="1">
        <v>50.9</v>
      </c>
      <c r="BW25" s="1">
        <v>64.599999999999994</v>
      </c>
      <c r="BX25" s="1">
        <v>59.4</v>
      </c>
      <c r="BY25" s="1">
        <v>71.599999999999994</v>
      </c>
      <c r="BZ25" s="1"/>
      <c r="CA25" s="24">
        <f t="shared" si="0"/>
        <v>1478.3556947744792</v>
      </c>
    </row>
    <row r="26" spans="1:79" x14ac:dyDescent="0.2">
      <c r="A26">
        <v>24</v>
      </c>
      <c r="B26" s="13" t="s">
        <v>50</v>
      </c>
      <c r="C26" s="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2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>
        <v>76.2</v>
      </c>
      <c r="BE26" s="1">
        <v>75.2</v>
      </c>
      <c r="BF26" s="1">
        <v>75</v>
      </c>
      <c r="BG26" s="1">
        <f>27551257/505400</f>
        <v>54.513765334388602</v>
      </c>
      <c r="BH26" s="1">
        <f>35342971/506100</f>
        <v>69.833967595336887</v>
      </c>
      <c r="BI26" s="1">
        <f>35812435/499100</f>
        <v>71.754027249048292</v>
      </c>
      <c r="BJ26" s="1">
        <f>33754159/496410</f>
        <v>67.996533107713375</v>
      </c>
      <c r="BK26" s="1">
        <f>35767181/490100</f>
        <v>72.979353193225876</v>
      </c>
      <c r="BL26" s="1">
        <f>34869825/489500</f>
        <v>71.235597548518896</v>
      </c>
      <c r="BM26" s="1">
        <f>30124481/486809</f>
        <v>61.881520267702527</v>
      </c>
      <c r="BN26" s="1">
        <f>28800297/500600</f>
        <v>57.53155613264083</v>
      </c>
      <c r="BO26" s="1">
        <f>28775129/503000</f>
        <v>57.207015904572565</v>
      </c>
      <c r="BP26" s="1">
        <f>21204574/361000</f>
        <v>58.738432132963986</v>
      </c>
      <c r="BQ26" s="1">
        <f>20724804/366100</f>
        <v>56.609680415187107</v>
      </c>
      <c r="BR26" s="1">
        <f>21750665/368200</f>
        <v>59.072963063552415</v>
      </c>
      <c r="BS26" s="1">
        <f>17483452/360200</f>
        <v>48.538178789561357</v>
      </c>
      <c r="BT26" s="1">
        <f>22278065/360100</f>
        <v>61.866328797556235</v>
      </c>
      <c r="BU26" s="1">
        <v>60.3</v>
      </c>
      <c r="BV26" s="1">
        <v>45.3</v>
      </c>
      <c r="BW26" s="1">
        <v>58.7</v>
      </c>
      <c r="BX26" s="1">
        <v>52.8</v>
      </c>
      <c r="BY26" s="1">
        <v>64.099999999999994</v>
      </c>
      <c r="BZ26" s="1"/>
      <c r="CA26" s="24">
        <f t="shared" si="0"/>
        <v>1377.3589195319687</v>
      </c>
    </row>
    <row r="27" spans="1:79" x14ac:dyDescent="0.2">
      <c r="A27">
        <v>25</v>
      </c>
      <c r="B27" s="13" t="s">
        <v>51</v>
      </c>
      <c r="C27" s="8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2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76.2</v>
      </c>
      <c r="BE27" s="1">
        <v>75.2</v>
      </c>
      <c r="BF27" s="1">
        <v>75</v>
      </c>
      <c r="BG27" s="1">
        <v>54.5</v>
      </c>
      <c r="BH27" s="1">
        <v>69.8</v>
      </c>
      <c r="BI27" s="1">
        <v>71.8</v>
      </c>
      <c r="BJ27" s="1">
        <v>68</v>
      </c>
      <c r="BK27" s="1">
        <v>73</v>
      </c>
      <c r="BL27" s="1">
        <v>71.2</v>
      </c>
      <c r="BM27" s="1">
        <v>61.9</v>
      </c>
      <c r="BN27" s="1">
        <v>57.5</v>
      </c>
      <c r="BO27" s="1">
        <v>57.2</v>
      </c>
      <c r="BP27" s="1">
        <f>10755626/142800</f>
        <v>75.319509803921562</v>
      </c>
      <c r="BQ27" s="1">
        <f>8719363/137500</f>
        <v>63.413549090909093</v>
      </c>
      <c r="BR27" s="1">
        <f>8355783/145400</f>
        <v>57.467558459422285</v>
      </c>
      <c r="BS27" s="1">
        <f>7248699/152800</f>
        <v>47.439129581151832</v>
      </c>
      <c r="BT27" s="1">
        <f>7896877/151000</f>
        <v>52.297198675496688</v>
      </c>
      <c r="BU27" s="1">
        <v>57.8</v>
      </c>
      <c r="BV27" s="1">
        <v>47.7</v>
      </c>
      <c r="BW27" s="1">
        <v>52.3</v>
      </c>
      <c r="BX27" s="1">
        <v>51.1</v>
      </c>
      <c r="BY27" s="1">
        <v>57.6</v>
      </c>
      <c r="BZ27" s="1"/>
      <c r="CA27" s="24">
        <f t="shared" si="0"/>
        <v>1373.7369456109013</v>
      </c>
    </row>
    <row r="28" spans="1:79" x14ac:dyDescent="0.2">
      <c r="A28">
        <v>26</v>
      </c>
      <c r="B28" s="13" t="s">
        <v>8</v>
      </c>
      <c r="C28" s="8" t="s">
        <v>31</v>
      </c>
      <c r="D28" s="1" t="s">
        <v>1</v>
      </c>
      <c r="E28" s="1">
        <f>(5223+97784+103007)/(187+3780+3965)</f>
        <v>25.972516389309128</v>
      </c>
      <c r="F28" s="1">
        <v>30.7</v>
      </c>
      <c r="G28" s="1">
        <v>26.5</v>
      </c>
      <c r="H28" s="1">
        <v>25.8</v>
      </c>
      <c r="I28" s="1">
        <v>22.3</v>
      </c>
      <c r="J28" s="1">
        <v>27</v>
      </c>
      <c r="K28" s="1">
        <v>25.7</v>
      </c>
      <c r="L28" s="1">
        <v>25</v>
      </c>
      <c r="M28" s="1">
        <v>28.5</v>
      </c>
      <c r="N28" s="1">
        <v>28.1</v>
      </c>
      <c r="O28" s="1">
        <v>31.3</v>
      </c>
      <c r="P28" s="1">
        <v>19.2</v>
      </c>
      <c r="Q28" s="1">
        <v>24.5</v>
      </c>
      <c r="R28" s="1">
        <v>28.9</v>
      </c>
      <c r="S28" s="1">
        <v>31.2</v>
      </c>
      <c r="T28" s="1">
        <v>27.4</v>
      </c>
      <c r="U28" s="1">
        <v>25.3</v>
      </c>
      <c r="V28" s="1">
        <v>30.3</v>
      </c>
      <c r="W28" s="1">
        <v>26.2</v>
      </c>
      <c r="X28" s="1">
        <v>21.9</v>
      </c>
      <c r="Y28" s="1">
        <v>23.7</v>
      </c>
      <c r="Z28" s="1">
        <v>26.9</v>
      </c>
      <c r="AA28" s="2">
        <v>26.7</v>
      </c>
      <c r="AB28" s="1">
        <v>25.5</v>
      </c>
      <c r="AC28" s="1">
        <v>30.4</v>
      </c>
      <c r="AD28" s="1">
        <v>27.1</v>
      </c>
      <c r="AE28" s="1">
        <v>24.2</v>
      </c>
      <c r="AF28" s="1">
        <v>24.1</v>
      </c>
      <c r="AG28" s="1">
        <v>23.9</v>
      </c>
      <c r="AH28" s="1">
        <v>20.8</v>
      </c>
      <c r="AI28" s="1">
        <v>25.4</v>
      </c>
      <c r="AJ28" s="1">
        <v>20.100000000000001</v>
      </c>
      <c r="AK28" s="1">
        <v>24.3</v>
      </c>
      <c r="AL28" s="1">
        <v>25.8</v>
      </c>
      <c r="AM28" s="1">
        <v>21.8</v>
      </c>
      <c r="AN28" s="1">
        <v>23.3</v>
      </c>
      <c r="AO28" s="1">
        <v>26.4</v>
      </c>
      <c r="AP28" s="1">
        <v>24.4</v>
      </c>
      <c r="AQ28" s="4">
        <v>21.4</v>
      </c>
      <c r="AR28" s="4">
        <v>22.5</v>
      </c>
      <c r="AS28" s="4">
        <v>21.9</v>
      </c>
      <c r="AT28" s="4">
        <v>21.1</v>
      </c>
      <c r="AU28" s="4">
        <v>21.1</v>
      </c>
      <c r="AV28" s="4">
        <v>24.9</v>
      </c>
      <c r="AW28" s="4">
        <v>26.1</v>
      </c>
      <c r="AX28" s="4">
        <v>24.6</v>
      </c>
      <c r="AY28" s="4">
        <v>20.2</v>
      </c>
      <c r="AZ28" s="4">
        <v>27.4</v>
      </c>
      <c r="BA28" s="4">
        <v>27.2</v>
      </c>
      <c r="BB28" s="4">
        <v>26.8</v>
      </c>
      <c r="BC28" s="4">
        <f>43347/1709</f>
        <v>25.363955529549443</v>
      </c>
      <c r="BD28" s="1">
        <v>24.3</v>
      </c>
      <c r="BE28" s="1">
        <v>23.9</v>
      </c>
      <c r="BF28" s="1">
        <v>26.4</v>
      </c>
      <c r="BG28" s="1">
        <f>45728/1800</f>
        <v>25.404444444444444</v>
      </c>
      <c r="BH28" s="1">
        <f>40169/1700</f>
        <v>23.628823529411765</v>
      </c>
      <c r="BI28" s="1">
        <f>48840/1800</f>
        <v>27.133333333333333</v>
      </c>
      <c r="BJ28" s="1">
        <f>34707/1454</f>
        <v>23.870013755158183</v>
      </c>
      <c r="BK28" s="1">
        <f>33867/1300</f>
        <v>26.051538461538463</v>
      </c>
      <c r="BL28" s="1">
        <f>37191/1600</f>
        <v>23.244375000000002</v>
      </c>
      <c r="BM28" s="1">
        <f>47587/1600</f>
        <v>29.741875</v>
      </c>
      <c r="BN28" s="4" t="s">
        <v>1</v>
      </c>
      <c r="BO28" s="4" t="s">
        <v>1</v>
      </c>
      <c r="BP28" s="1" t="s">
        <v>0</v>
      </c>
      <c r="BQ28" s="1" t="s">
        <v>0</v>
      </c>
      <c r="BR28" s="1" t="s">
        <v>0</v>
      </c>
      <c r="BS28" s="1" t="s">
        <v>0</v>
      </c>
      <c r="BT28" s="1" t="s">
        <v>0</v>
      </c>
      <c r="BU28" s="1" t="s">
        <v>0</v>
      </c>
      <c r="BV28" s="1" t="s">
        <v>0</v>
      </c>
      <c r="BW28" s="1" t="s">
        <v>0</v>
      </c>
      <c r="BX28" s="1" t="s">
        <v>0</v>
      </c>
      <c r="BY28" s="1" t="s">
        <v>0</v>
      </c>
      <c r="BZ28" s="1"/>
      <c r="CA28" s="24">
        <f t="shared" si="0"/>
        <v>1540.8108754427446</v>
      </c>
    </row>
    <row r="29" spans="1:79" x14ac:dyDescent="0.2">
      <c r="A29">
        <v>27</v>
      </c>
      <c r="B29" s="13" t="s">
        <v>7</v>
      </c>
      <c r="C29" s="8" t="s">
        <v>31</v>
      </c>
      <c r="D29" s="1">
        <f>(4092+12418+638)/(466+936+48)</f>
        <v>11.826206896551724</v>
      </c>
      <c r="E29" s="1">
        <f>(810+3733)/500</f>
        <v>9.0860000000000003</v>
      </c>
      <c r="F29" s="1">
        <v>12.8</v>
      </c>
      <c r="G29" s="1">
        <v>13.8</v>
      </c>
      <c r="H29" s="1">
        <v>14</v>
      </c>
      <c r="I29" s="1">
        <v>17.3</v>
      </c>
      <c r="J29" s="1">
        <v>15.2</v>
      </c>
      <c r="K29" s="1">
        <v>17.100000000000001</v>
      </c>
      <c r="L29" s="1">
        <v>14.3</v>
      </c>
      <c r="M29" s="1">
        <v>15.4</v>
      </c>
      <c r="N29" s="1">
        <v>19.2</v>
      </c>
      <c r="O29" s="1">
        <v>18.399999999999999</v>
      </c>
      <c r="P29" s="1">
        <v>16.899999999999999</v>
      </c>
      <c r="Q29" s="1">
        <v>16</v>
      </c>
      <c r="R29" s="1">
        <v>16.5</v>
      </c>
      <c r="S29" s="1">
        <v>20.3</v>
      </c>
      <c r="T29" s="1">
        <v>18</v>
      </c>
      <c r="U29" s="1">
        <v>18</v>
      </c>
      <c r="V29" s="1">
        <v>16.8</v>
      </c>
      <c r="W29" s="1">
        <v>19.399999999999999</v>
      </c>
      <c r="X29" s="1">
        <v>17</v>
      </c>
      <c r="Y29" s="1">
        <v>21.5</v>
      </c>
      <c r="Z29" s="1">
        <v>20.100000000000001</v>
      </c>
      <c r="AA29" s="2">
        <v>17.2</v>
      </c>
      <c r="AB29" s="1">
        <v>18.600000000000001</v>
      </c>
      <c r="AC29" s="1">
        <v>16.5</v>
      </c>
      <c r="AD29" s="1">
        <v>17.5</v>
      </c>
      <c r="AE29" s="1">
        <v>15.6</v>
      </c>
      <c r="AF29" s="1">
        <v>14.2</v>
      </c>
      <c r="AG29" s="1">
        <v>15.6</v>
      </c>
      <c r="AH29" s="1">
        <v>16.3</v>
      </c>
      <c r="AI29" s="1">
        <v>17.2</v>
      </c>
      <c r="AJ29" s="1">
        <v>10.8</v>
      </c>
      <c r="AK29" s="1">
        <v>17.7</v>
      </c>
      <c r="AL29" s="1">
        <v>18.100000000000001</v>
      </c>
      <c r="AM29" s="1">
        <v>15.6</v>
      </c>
      <c r="AN29" s="1">
        <v>16.399999999999999</v>
      </c>
      <c r="AO29" s="1">
        <v>16.600000000000001</v>
      </c>
      <c r="AP29" s="1">
        <v>16.3</v>
      </c>
      <c r="AQ29" s="4">
        <v>15.1</v>
      </c>
      <c r="AR29" s="4">
        <v>15.5</v>
      </c>
      <c r="AS29" s="4">
        <v>15.8</v>
      </c>
      <c r="AT29" s="4">
        <v>14.3</v>
      </c>
      <c r="AU29" s="4">
        <v>15.6</v>
      </c>
      <c r="AV29" s="4">
        <v>14.5</v>
      </c>
      <c r="AW29" s="4">
        <v>13.5</v>
      </c>
      <c r="AX29" s="4">
        <v>13.6</v>
      </c>
      <c r="AY29" s="4">
        <v>12.7</v>
      </c>
      <c r="AZ29" s="4">
        <v>14.6</v>
      </c>
      <c r="BA29" s="4">
        <v>15.6</v>
      </c>
      <c r="BB29" s="4">
        <v>13.5</v>
      </c>
      <c r="BC29" s="4">
        <v>14.2</v>
      </c>
      <c r="BD29" s="1">
        <v>8.6</v>
      </c>
      <c r="BE29" s="1">
        <v>12.1</v>
      </c>
      <c r="BF29" s="1">
        <v>14</v>
      </c>
      <c r="BG29" s="1">
        <f>14890/1500</f>
        <v>9.9266666666666659</v>
      </c>
      <c r="BH29" s="1">
        <f>18582/1100</f>
        <v>16.892727272727274</v>
      </c>
      <c r="BI29" s="1">
        <f>16900/1300</f>
        <v>13</v>
      </c>
      <c r="BJ29" s="1">
        <f>15410/1240</f>
        <v>12.42741935483871</v>
      </c>
      <c r="BK29" s="1">
        <f>16098/1200</f>
        <v>13.414999999999999</v>
      </c>
      <c r="BL29" s="1">
        <f>18315/1300</f>
        <v>14.088461538461539</v>
      </c>
      <c r="BM29" s="1">
        <f>16355/1200</f>
        <v>13.629166666666666</v>
      </c>
      <c r="BN29" s="4">
        <v>14.6</v>
      </c>
      <c r="BO29" s="4">
        <v>14.9</v>
      </c>
      <c r="BP29" s="1">
        <v>13.2</v>
      </c>
      <c r="BQ29" s="1">
        <v>11.8</v>
      </c>
      <c r="BR29" s="1">
        <v>16.7</v>
      </c>
      <c r="BS29" s="1">
        <v>13.7</v>
      </c>
      <c r="BT29" s="1">
        <v>17.100000000000001</v>
      </c>
      <c r="BU29" s="1">
        <v>16.8</v>
      </c>
      <c r="BV29" s="1">
        <f>20750.7/1397</f>
        <v>14.853758052970653</v>
      </c>
      <c r="BW29" s="1">
        <v>20.2</v>
      </c>
      <c r="BX29" s="1">
        <v>19.3</v>
      </c>
      <c r="BY29" s="1">
        <v>18.2</v>
      </c>
      <c r="BZ29" s="1"/>
      <c r="CA29" s="24">
        <f t="shared" si="0"/>
        <v>1147.0454064488833</v>
      </c>
    </row>
    <row r="30" spans="1:79" x14ac:dyDescent="0.2">
      <c r="A30">
        <v>28</v>
      </c>
      <c r="B30" s="13" t="s">
        <v>4</v>
      </c>
      <c r="C30" s="8" t="s">
        <v>31</v>
      </c>
      <c r="D30" s="3" t="s">
        <v>1</v>
      </c>
      <c r="E30" s="3">
        <f>(5070+330)/(329+1+13)</f>
        <v>15.743440233236152</v>
      </c>
      <c r="F30" s="3">
        <v>21.6</v>
      </c>
      <c r="G30" s="3">
        <v>24.1</v>
      </c>
      <c r="H30" s="3">
        <v>26.5</v>
      </c>
      <c r="I30" s="3">
        <v>30.3</v>
      </c>
      <c r="J30" s="6">
        <v>26.5</v>
      </c>
      <c r="K30" s="6">
        <v>27.1</v>
      </c>
      <c r="L30" s="6">
        <v>29.8</v>
      </c>
      <c r="M30" s="6">
        <v>32.700000000000003</v>
      </c>
      <c r="N30" s="6">
        <v>32.5</v>
      </c>
      <c r="O30" s="6">
        <v>33.6</v>
      </c>
      <c r="P30" s="3">
        <v>34.5</v>
      </c>
      <c r="Q30" s="3">
        <v>29.1</v>
      </c>
      <c r="R30" s="3">
        <v>29.9</v>
      </c>
      <c r="S30" s="3">
        <v>33.1</v>
      </c>
      <c r="T30" s="3">
        <v>36.4</v>
      </c>
      <c r="U30" s="3">
        <v>24.9</v>
      </c>
      <c r="V30" s="3">
        <v>41.7</v>
      </c>
      <c r="W30" s="3">
        <v>31.1</v>
      </c>
      <c r="X30" s="3">
        <v>35.4</v>
      </c>
      <c r="Y30" s="3">
        <v>32.1</v>
      </c>
      <c r="Z30" s="3">
        <v>35.5</v>
      </c>
      <c r="AA30" s="5">
        <v>41.2</v>
      </c>
      <c r="AB30" s="3">
        <v>34.6</v>
      </c>
      <c r="AC30" s="3">
        <v>39.200000000000003</v>
      </c>
      <c r="AD30" s="3">
        <v>35.200000000000003</v>
      </c>
      <c r="AE30" s="3">
        <v>34.9</v>
      </c>
      <c r="AF30" s="3">
        <v>39</v>
      </c>
      <c r="AG30" s="3">
        <v>35.200000000000003</v>
      </c>
      <c r="AH30" s="3">
        <v>36.200000000000003</v>
      </c>
      <c r="AI30" s="3">
        <v>36.700000000000003</v>
      </c>
      <c r="AJ30" s="3">
        <v>31.6</v>
      </c>
      <c r="AK30" s="3">
        <v>38.6</v>
      </c>
      <c r="AL30" s="3">
        <v>34.200000000000003</v>
      </c>
      <c r="AM30" s="3">
        <v>33.4</v>
      </c>
      <c r="AN30" s="3">
        <v>27.7</v>
      </c>
      <c r="AO30" s="3">
        <v>34.200000000000003</v>
      </c>
      <c r="AP30" s="3">
        <v>34.9</v>
      </c>
      <c r="AQ30" s="6">
        <v>31.2</v>
      </c>
      <c r="AR30" s="6">
        <v>36.200000000000003</v>
      </c>
      <c r="AS30" s="6">
        <v>36.4</v>
      </c>
      <c r="AT30" s="6">
        <v>38.6</v>
      </c>
      <c r="AU30" s="6">
        <v>32.1</v>
      </c>
      <c r="AV30" s="6">
        <v>37.200000000000003</v>
      </c>
      <c r="AW30" s="6">
        <v>38</v>
      </c>
      <c r="AX30" s="6">
        <v>33</v>
      </c>
      <c r="AY30" s="6">
        <v>34.799999999999997</v>
      </c>
      <c r="AZ30" s="6">
        <v>35.799999999999997</v>
      </c>
      <c r="BA30" s="6">
        <v>35.5</v>
      </c>
      <c r="BB30" s="6">
        <v>37.799999999999997</v>
      </c>
      <c r="BC30" s="6">
        <v>36.200000000000003</v>
      </c>
      <c r="BD30" s="6">
        <v>37.6</v>
      </c>
      <c r="BE30" s="6">
        <v>33</v>
      </c>
      <c r="BF30" s="6">
        <v>34.6</v>
      </c>
      <c r="BG30" s="4">
        <v>35.700000000000003</v>
      </c>
      <c r="BH30" s="4">
        <v>35.299999999999997</v>
      </c>
      <c r="BI30" s="4">
        <v>37.6</v>
      </c>
      <c r="BJ30" s="4">
        <f>58394/1717</f>
        <v>34.009318578916712</v>
      </c>
      <c r="BK30" s="4">
        <f>70093/1693</f>
        <v>41.401653868871826</v>
      </c>
      <c r="BL30" s="4">
        <f>72557/1719</f>
        <v>42.208842350203604</v>
      </c>
      <c r="BM30" s="4">
        <f>81548/1769</f>
        <v>46.098360655737707</v>
      </c>
      <c r="BN30" s="4">
        <f>79787/2046</f>
        <v>38.99657869012708</v>
      </c>
      <c r="BO30" s="4">
        <f>87836/1996</f>
        <v>44.006012024048097</v>
      </c>
      <c r="BP30" s="1">
        <f>100455/2034</f>
        <v>49.387905604719762</v>
      </c>
      <c r="BQ30" s="1">
        <v>43.6</v>
      </c>
      <c r="BR30" s="1">
        <v>48.1</v>
      </c>
      <c r="BS30" s="1">
        <f>109466/2787</f>
        <v>39.277359167563688</v>
      </c>
      <c r="BT30" s="1">
        <v>47.5</v>
      </c>
      <c r="BU30" s="29">
        <v>51.3</v>
      </c>
      <c r="BV30" s="29">
        <v>47.6</v>
      </c>
      <c r="BW30" s="29">
        <v>47.9</v>
      </c>
      <c r="BX30" s="29">
        <v>43.2</v>
      </c>
      <c r="BY30" s="29">
        <v>46.7</v>
      </c>
      <c r="BZ30" s="29"/>
      <c r="CA30" s="24">
        <f t="shared" si="0"/>
        <v>2618.8294711734247</v>
      </c>
    </row>
    <row r="31" spans="1:79" x14ac:dyDescent="0.2">
      <c r="A31">
        <v>29</v>
      </c>
      <c r="B31" s="13" t="s">
        <v>28</v>
      </c>
      <c r="C31" s="8" t="s">
        <v>31</v>
      </c>
      <c r="D31" s="3" t="s">
        <v>1</v>
      </c>
      <c r="E31" s="3" t="s">
        <v>1</v>
      </c>
      <c r="F31" s="3">
        <v>37.299999999999997</v>
      </c>
      <c r="G31" s="3">
        <v>58.5</v>
      </c>
      <c r="H31" s="3">
        <v>58</v>
      </c>
      <c r="I31" s="3">
        <v>54.3</v>
      </c>
      <c r="J31" s="6">
        <v>59.4</v>
      </c>
      <c r="K31" s="6">
        <v>63.9</v>
      </c>
      <c r="L31" s="6">
        <v>64</v>
      </c>
      <c r="M31" s="6">
        <v>64.2</v>
      </c>
      <c r="N31" s="6">
        <f>73347/913.8</f>
        <v>80.265922521339462</v>
      </c>
      <c r="O31" s="6">
        <f>51584/891.8</f>
        <v>57.842565597667644</v>
      </c>
      <c r="P31" s="6">
        <f>60122/905.3</f>
        <v>66.411134430575501</v>
      </c>
      <c r="Q31" s="3">
        <v>72.599999999999994</v>
      </c>
      <c r="R31" s="3">
        <v>62.3</v>
      </c>
      <c r="S31" s="3">
        <v>62.1</v>
      </c>
      <c r="T31" s="6">
        <f>46903/749.9</f>
        <v>62.545672756367516</v>
      </c>
      <c r="U31" s="6">
        <f>55725/841.1</f>
        <v>66.252526453453811</v>
      </c>
      <c r="V31" s="3">
        <v>96.2</v>
      </c>
      <c r="W31" s="3">
        <v>90.7</v>
      </c>
      <c r="X31" s="3">
        <v>86.2</v>
      </c>
      <c r="Y31" s="3">
        <v>84.6</v>
      </c>
      <c r="Z31" s="3" t="s">
        <v>1</v>
      </c>
      <c r="AA31" s="5">
        <v>75.900000000000006</v>
      </c>
      <c r="AB31" s="3" t="s">
        <v>1</v>
      </c>
      <c r="AC31" s="3" t="s">
        <v>1</v>
      </c>
      <c r="AD31" s="3" t="s">
        <v>1</v>
      </c>
      <c r="AE31" s="3" t="s">
        <v>1</v>
      </c>
      <c r="AF31" s="3" t="s">
        <v>1</v>
      </c>
      <c r="AG31" s="3" t="s">
        <v>1</v>
      </c>
      <c r="AH31" s="3" t="s">
        <v>1</v>
      </c>
      <c r="AI31" s="3" t="s">
        <v>1</v>
      </c>
      <c r="AJ31" s="3" t="s">
        <v>1</v>
      </c>
      <c r="AK31" s="3" t="s">
        <v>1</v>
      </c>
      <c r="AL31" s="3" t="s">
        <v>1</v>
      </c>
      <c r="AM31" s="3" t="s">
        <v>1</v>
      </c>
      <c r="AN31" s="3" t="s">
        <v>1</v>
      </c>
      <c r="AO31" s="3" t="s">
        <v>1</v>
      </c>
      <c r="AP31" s="3" t="s">
        <v>1</v>
      </c>
      <c r="AQ31" s="3" t="s">
        <v>1</v>
      </c>
      <c r="AR31" s="3" t="s">
        <v>1</v>
      </c>
      <c r="AS31" s="3" t="s">
        <v>1</v>
      </c>
      <c r="AT31" s="3" t="s">
        <v>1</v>
      </c>
      <c r="AU31" s="3" t="s">
        <v>1</v>
      </c>
      <c r="AV31" s="6">
        <v>110.4</v>
      </c>
      <c r="AW31" s="6">
        <v>108.8</v>
      </c>
      <c r="AX31" s="6">
        <v>112.2</v>
      </c>
      <c r="AY31" s="6">
        <v>108</v>
      </c>
      <c r="AZ31" s="6">
        <v>105.3</v>
      </c>
      <c r="BA31" s="6">
        <v>102.6</v>
      </c>
      <c r="BB31" s="7" t="s">
        <v>1</v>
      </c>
      <c r="BC31" s="7" t="s">
        <v>1</v>
      </c>
      <c r="BD31" s="6">
        <v>111.5</v>
      </c>
      <c r="BE31" s="6">
        <v>104.7</v>
      </c>
      <c r="BF31" s="6">
        <v>108.1</v>
      </c>
      <c r="BG31" s="6">
        <v>101.8</v>
      </c>
      <c r="BH31" s="6">
        <v>113.7</v>
      </c>
      <c r="BI31" s="6">
        <v>123.3</v>
      </c>
      <c r="BJ31" s="6">
        <f>359950/2593</f>
        <v>138.81604319321249</v>
      </c>
      <c r="BK31" s="6">
        <f>245479/2338</f>
        <v>104.99529512403764</v>
      </c>
      <c r="BL31" s="6">
        <f>274092/2465</f>
        <v>111.19350912778904</v>
      </c>
      <c r="BM31" s="6">
        <f>267607/2375</f>
        <v>112.67663157894737</v>
      </c>
      <c r="BN31" s="6">
        <f>273432/2437</f>
        <v>112.20024620434961</v>
      </c>
      <c r="BO31" s="6">
        <f>287446/2597</f>
        <v>110.68386599922988</v>
      </c>
      <c r="BP31" s="1">
        <f>271647/2804</f>
        <v>96.878388017118397</v>
      </c>
      <c r="BQ31" s="1">
        <v>88.8</v>
      </c>
      <c r="BR31" s="1">
        <v>109.1</v>
      </c>
      <c r="BS31" s="1">
        <v>115.4</v>
      </c>
      <c r="BT31" s="1">
        <v>89.5</v>
      </c>
      <c r="BU31" s="29">
        <v>76.099999999999994</v>
      </c>
      <c r="BV31" s="29">
        <v>99.6</v>
      </c>
      <c r="BW31" s="29">
        <v>103.9</v>
      </c>
      <c r="BX31" s="29">
        <v>105</v>
      </c>
      <c r="BY31" s="29">
        <v>91.2</v>
      </c>
      <c r="BZ31" s="29"/>
      <c r="CA31" s="24">
        <f t="shared" si="0"/>
        <v>4399.9618010040886</v>
      </c>
    </row>
    <row r="32" spans="1:79" x14ac:dyDescent="0.2">
      <c r="A32">
        <v>30</v>
      </c>
      <c r="B32" s="13" t="s">
        <v>32</v>
      </c>
      <c r="C32" s="8" t="s">
        <v>2</v>
      </c>
      <c r="D32" s="3" t="s">
        <v>1</v>
      </c>
      <c r="E32" s="3">
        <v>7.9</v>
      </c>
      <c r="F32" s="3">
        <v>51.5</v>
      </c>
      <c r="G32" s="3">
        <v>43.4</v>
      </c>
      <c r="H32" s="3">
        <v>30.8</v>
      </c>
      <c r="I32" s="3">
        <v>19</v>
      </c>
      <c r="J32" s="6">
        <v>34.4</v>
      </c>
      <c r="K32" s="27">
        <v>32.200000000000003</v>
      </c>
      <c r="L32" s="27">
        <f>L45*10/L46</f>
        <v>91.784062885326748</v>
      </c>
      <c r="M32" s="6">
        <v>28.8</v>
      </c>
      <c r="N32" s="6">
        <v>70.900000000000006</v>
      </c>
      <c r="O32" s="6">
        <v>65.3</v>
      </c>
      <c r="P32" s="3">
        <v>92.5</v>
      </c>
      <c r="Q32" s="3">
        <v>42</v>
      </c>
      <c r="R32" s="3">
        <v>56.2</v>
      </c>
      <c r="S32" s="3">
        <v>85.4</v>
      </c>
      <c r="T32" s="3">
        <v>87.8</v>
      </c>
      <c r="U32" s="3">
        <v>69</v>
      </c>
      <c r="V32" s="3">
        <v>66.7</v>
      </c>
      <c r="W32" s="3">
        <v>80.8</v>
      </c>
      <c r="X32" s="3">
        <v>88.1</v>
      </c>
      <c r="Y32" s="3">
        <v>74</v>
      </c>
      <c r="Z32" s="3">
        <v>132.6</v>
      </c>
      <c r="AA32" s="5">
        <v>72.7</v>
      </c>
      <c r="AB32" s="3">
        <v>83.2</v>
      </c>
      <c r="AC32" s="3">
        <v>123.4</v>
      </c>
      <c r="AD32" s="3">
        <v>49.5</v>
      </c>
      <c r="AE32" s="3">
        <v>94.6</v>
      </c>
      <c r="AF32" s="3">
        <v>101.9</v>
      </c>
      <c r="AG32" s="3">
        <v>134</v>
      </c>
      <c r="AH32" s="3">
        <v>72.7</v>
      </c>
      <c r="AI32" s="3">
        <v>104.8</v>
      </c>
      <c r="AJ32" s="3">
        <v>44</v>
      </c>
      <c r="AK32" s="3">
        <v>61.8</v>
      </c>
      <c r="AL32" s="3">
        <v>159.80000000000001</v>
      </c>
      <c r="AM32" s="3">
        <v>131.30000000000001</v>
      </c>
      <c r="AN32" s="3">
        <v>73</v>
      </c>
      <c r="AO32" s="6">
        <v>40.5</v>
      </c>
      <c r="AP32" s="6">
        <v>109.3</v>
      </c>
      <c r="AQ32" s="6">
        <v>81.3</v>
      </c>
      <c r="AR32" s="6">
        <v>101.5</v>
      </c>
      <c r="AS32" s="6">
        <v>138.69999999999999</v>
      </c>
      <c r="AT32" s="6">
        <v>82.1</v>
      </c>
      <c r="AU32" s="6">
        <v>76.400000000000006</v>
      </c>
      <c r="AV32" s="6">
        <v>111.8</v>
      </c>
      <c r="AW32" s="6">
        <v>85</v>
      </c>
      <c r="AX32" s="6">
        <v>92.3</v>
      </c>
      <c r="AY32" s="6">
        <v>72.099999999999994</v>
      </c>
      <c r="AZ32" s="6">
        <v>76.3</v>
      </c>
      <c r="BA32" s="6">
        <v>75</v>
      </c>
      <c r="BB32" s="6">
        <v>103.4</v>
      </c>
      <c r="BC32" s="6">
        <v>110.1</v>
      </c>
      <c r="BD32" s="6">
        <v>92.2</v>
      </c>
      <c r="BE32" s="6">
        <v>88.2</v>
      </c>
      <c r="BF32" s="6">
        <v>101.6</v>
      </c>
      <c r="BG32" s="4">
        <v>74.3</v>
      </c>
      <c r="BH32" s="4">
        <v>101.1</v>
      </c>
      <c r="BI32" s="4">
        <v>93.9</v>
      </c>
      <c r="BJ32" s="4">
        <v>87.7</v>
      </c>
      <c r="BK32" s="4">
        <v>97.5</v>
      </c>
      <c r="BL32" s="4">
        <v>94</v>
      </c>
      <c r="BM32" s="4">
        <v>86</v>
      </c>
      <c r="BN32" s="1">
        <v>69.900000000000006</v>
      </c>
      <c r="BO32" s="1">
        <v>89.1</v>
      </c>
      <c r="BP32" s="1">
        <v>86.9</v>
      </c>
      <c r="BQ32" s="1">
        <v>75.099999999999994</v>
      </c>
      <c r="BR32" s="1">
        <v>88.5</v>
      </c>
      <c r="BS32" s="1">
        <v>84.1</v>
      </c>
      <c r="BT32" s="1">
        <v>91.8</v>
      </c>
      <c r="BU32" s="29">
        <v>69</v>
      </c>
      <c r="BV32" s="29">
        <v>100</v>
      </c>
      <c r="BW32" s="29">
        <v>83</v>
      </c>
      <c r="BX32" s="29">
        <v>71</v>
      </c>
      <c r="BY32" s="29">
        <v>86.8</v>
      </c>
      <c r="BZ32" s="29"/>
      <c r="CA32" s="24">
        <f t="shared" si="0"/>
        <v>5925.2840628853291</v>
      </c>
    </row>
    <row r="33" spans="1:80" x14ac:dyDescent="0.2">
      <c r="A33">
        <v>31</v>
      </c>
      <c r="B33" s="13" t="s">
        <v>40</v>
      </c>
      <c r="C33" s="8" t="s">
        <v>31</v>
      </c>
      <c r="BJ33" s="1"/>
      <c r="BK33" s="1"/>
      <c r="BL33" s="1"/>
      <c r="BM33" s="1"/>
      <c r="BN33" s="1"/>
      <c r="BO33" s="1"/>
      <c r="BP33" s="1">
        <f>77285/1489</f>
        <v>51.903962390866354</v>
      </c>
      <c r="BQ33" s="1">
        <f>77772/1557</f>
        <v>49.949903660886321</v>
      </c>
      <c r="BR33" s="1">
        <f>86010/1626</f>
        <v>52.896678966789665</v>
      </c>
      <c r="BS33" s="1">
        <f>85209/1671</f>
        <v>50.992818671454216</v>
      </c>
      <c r="BT33" s="1">
        <f>77951/1545</f>
        <v>50.453721682847899</v>
      </c>
      <c r="BU33" s="1">
        <v>51.1</v>
      </c>
      <c r="BV33" s="1">
        <f>110330/1585</f>
        <v>69.608832807570977</v>
      </c>
      <c r="BW33" s="1">
        <f>78071/1597</f>
        <v>48.88603631809643</v>
      </c>
      <c r="BX33" s="1">
        <f>75628/1505</f>
        <v>50.251162790697677</v>
      </c>
      <c r="BY33" s="1">
        <f>86804/1499</f>
        <v>57.907938625750504</v>
      </c>
      <c r="BZ33" s="1"/>
      <c r="CA33" s="24">
        <f t="shared" si="0"/>
        <v>533.95105591496008</v>
      </c>
    </row>
    <row r="34" spans="1:80" x14ac:dyDescent="0.2">
      <c r="A34">
        <v>32</v>
      </c>
      <c r="B34" s="30" t="s">
        <v>55</v>
      </c>
      <c r="C34" s="8"/>
      <c r="BJ34" s="1"/>
      <c r="BK34" s="1"/>
      <c r="BL34" s="1"/>
      <c r="BM34" s="1"/>
      <c r="BN34" s="1"/>
      <c r="BO34" s="1"/>
      <c r="BP34" s="32">
        <v>288.10000000000002</v>
      </c>
      <c r="BQ34" s="32">
        <v>287.89999999999998</v>
      </c>
      <c r="BR34" s="32">
        <v>322.10000000000002</v>
      </c>
      <c r="BS34" s="32">
        <v>283.10000000000002</v>
      </c>
      <c r="BT34" s="32">
        <v>277.7</v>
      </c>
      <c r="BU34" s="32">
        <v>93.3</v>
      </c>
      <c r="BV34" s="32">
        <v>383.4</v>
      </c>
      <c r="BW34" s="32">
        <v>329.6</v>
      </c>
      <c r="BX34" s="1">
        <v>333.1</v>
      </c>
      <c r="BY34" s="1">
        <v>284.89999999999998</v>
      </c>
      <c r="BZ34" s="1"/>
      <c r="CA34" s="24">
        <f>SUM(D34:BY34)</f>
        <v>2883.2</v>
      </c>
    </row>
    <row r="35" spans="1:80" x14ac:dyDescent="0.2">
      <c r="A35">
        <v>33</v>
      </c>
      <c r="B35" s="30" t="s">
        <v>56</v>
      </c>
      <c r="C35" s="8"/>
      <c r="BJ35" s="1"/>
      <c r="BK35" s="1"/>
      <c r="BL35" s="1"/>
      <c r="BM35" s="1"/>
      <c r="BN35" s="1"/>
      <c r="BO35" s="1"/>
      <c r="BP35" s="32">
        <v>151</v>
      </c>
      <c r="BQ35" s="32">
        <v>192.6</v>
      </c>
      <c r="BR35" s="32">
        <v>236.5</v>
      </c>
      <c r="BS35" s="32">
        <v>200.6</v>
      </c>
      <c r="BT35" s="32">
        <v>137.4</v>
      </c>
      <c r="BU35" s="32">
        <v>70.7</v>
      </c>
      <c r="BV35" s="32">
        <v>216.3</v>
      </c>
      <c r="BW35" s="32">
        <v>191.9</v>
      </c>
      <c r="BX35" s="1">
        <v>178.7</v>
      </c>
      <c r="BY35" s="1">
        <v>162.1</v>
      </c>
      <c r="BZ35" s="1"/>
      <c r="CA35" s="24">
        <f t="shared" si="0"/>
        <v>1737.8000000000002</v>
      </c>
    </row>
    <row r="36" spans="1:80" ht="25.5" x14ac:dyDescent="0.2">
      <c r="A36">
        <v>34</v>
      </c>
      <c r="B36" s="30" t="s">
        <v>57</v>
      </c>
      <c r="C36" s="8"/>
      <c r="BJ36" s="1"/>
      <c r="BK36" s="1"/>
      <c r="BL36" s="1"/>
      <c r="BM36" s="1"/>
      <c r="BN36" s="1"/>
      <c r="BO36" s="1"/>
      <c r="BP36" s="32">
        <v>51.3</v>
      </c>
      <c r="BQ36" s="32">
        <v>53.7</v>
      </c>
      <c r="BR36" s="32">
        <v>97</v>
      </c>
      <c r="BS36" s="32">
        <v>66.5</v>
      </c>
      <c r="BT36" s="32">
        <v>52.3</v>
      </c>
      <c r="BU36" s="32">
        <v>23.8</v>
      </c>
      <c r="BV36" s="32">
        <v>82.6</v>
      </c>
      <c r="BW36" s="32">
        <v>83.9</v>
      </c>
      <c r="BX36" s="1">
        <v>74.2</v>
      </c>
      <c r="BY36" s="1">
        <v>45.4</v>
      </c>
      <c r="BZ36" s="1"/>
      <c r="CA36" s="24">
        <f t="shared" si="0"/>
        <v>630.70000000000005</v>
      </c>
    </row>
    <row r="37" spans="1:80" ht="25.5" x14ac:dyDescent="0.2">
      <c r="A37">
        <v>35</v>
      </c>
      <c r="B37" s="30" t="s">
        <v>58</v>
      </c>
      <c r="C37" s="8"/>
      <c r="BJ37" s="1"/>
      <c r="BK37" s="1"/>
      <c r="BL37" s="1"/>
      <c r="BM37" s="1"/>
      <c r="BN37" s="1"/>
      <c r="BO37" s="1"/>
      <c r="BP37" s="32">
        <v>58.7</v>
      </c>
      <c r="BQ37" s="32">
        <v>54.5</v>
      </c>
      <c r="BR37" s="32">
        <v>80</v>
      </c>
      <c r="BS37" s="32">
        <v>59.9</v>
      </c>
      <c r="BT37" s="32">
        <v>52.1</v>
      </c>
      <c r="BU37" s="32">
        <v>29.6</v>
      </c>
      <c r="BV37" s="32">
        <v>81.7</v>
      </c>
      <c r="BW37" s="32">
        <v>131.1</v>
      </c>
      <c r="BX37" s="1">
        <v>124.4</v>
      </c>
      <c r="BY37" s="1">
        <v>38.299999999999997</v>
      </c>
      <c r="BZ37" s="1"/>
      <c r="CA37" s="24">
        <f t="shared" si="0"/>
        <v>710.3</v>
      </c>
    </row>
    <row r="38" spans="1:80" ht="25.5" x14ac:dyDescent="0.2">
      <c r="A38">
        <v>36</v>
      </c>
      <c r="B38" s="30" t="s">
        <v>59</v>
      </c>
      <c r="C38" s="8"/>
      <c r="BJ38" s="1"/>
      <c r="BK38" s="1"/>
      <c r="BL38" s="1"/>
      <c r="BM38" s="1"/>
      <c r="BN38" s="1"/>
      <c r="BO38" s="1"/>
      <c r="BP38" s="32">
        <v>64.3</v>
      </c>
      <c r="BQ38" s="32">
        <v>113.6</v>
      </c>
      <c r="BR38" s="32">
        <v>131</v>
      </c>
      <c r="BS38" s="32">
        <v>108</v>
      </c>
      <c r="BT38" s="32">
        <v>83</v>
      </c>
      <c r="BU38" s="32">
        <v>42.5</v>
      </c>
      <c r="BV38" s="32">
        <v>146.80000000000001</v>
      </c>
      <c r="BW38" s="32">
        <v>99.2</v>
      </c>
      <c r="BX38" s="1">
        <v>116.5</v>
      </c>
      <c r="BY38" s="1">
        <v>55.9</v>
      </c>
      <c r="BZ38" s="1"/>
      <c r="CA38" s="24">
        <f t="shared" si="0"/>
        <v>960.80000000000007</v>
      </c>
    </row>
    <row r="39" spans="1:80" ht="25.5" x14ac:dyDescent="0.2">
      <c r="A39">
        <v>37</v>
      </c>
      <c r="B39" s="30" t="s">
        <v>60</v>
      </c>
      <c r="C39" s="8"/>
      <c r="BJ39" s="1"/>
      <c r="BK39" s="1"/>
      <c r="BL39" s="1"/>
      <c r="BM39" s="1"/>
      <c r="BN39" s="1"/>
      <c r="BO39" s="1"/>
      <c r="BP39" s="32">
        <v>93.7</v>
      </c>
      <c r="BQ39" s="32">
        <v>80.8</v>
      </c>
      <c r="BR39" s="32">
        <v>139.4</v>
      </c>
      <c r="BS39" s="32">
        <v>59.9</v>
      </c>
      <c r="BT39" s="32">
        <v>73.5</v>
      </c>
      <c r="BU39" s="32">
        <v>33.9</v>
      </c>
      <c r="BV39" s="32">
        <v>148.80000000000001</v>
      </c>
      <c r="BW39" s="32">
        <v>76.3</v>
      </c>
      <c r="BX39" s="1">
        <v>53.5</v>
      </c>
      <c r="BY39" s="1">
        <v>56.3</v>
      </c>
      <c r="BZ39" s="1"/>
      <c r="CA39" s="24">
        <f t="shared" si="0"/>
        <v>816.09999999999991</v>
      </c>
    </row>
    <row r="40" spans="1:80" x14ac:dyDescent="0.2"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CA40" s="23"/>
      <c r="CB40" s="1"/>
    </row>
    <row r="41" spans="1:80" x14ac:dyDescent="0.2">
      <c r="A41" s="16"/>
      <c r="B41" s="17"/>
      <c r="C41" s="17"/>
      <c r="D41" s="18"/>
      <c r="E41" s="18">
        <f>COUNTIF($E$42:E42,"&gt;0")</f>
        <v>1</v>
      </c>
      <c r="F41" s="18">
        <f>COUNTIF($E$42:F42,"&gt;0")</f>
        <v>2</v>
      </c>
      <c r="G41" s="18">
        <f>COUNTIF($E$42:G42,"&gt;0")</f>
        <v>3</v>
      </c>
      <c r="H41" s="18">
        <f>COUNTIF($E$42:H42,"&gt;0")</f>
        <v>4</v>
      </c>
      <c r="I41" s="18">
        <f>COUNTIF($E$42:I42,"&gt;0")</f>
        <v>5</v>
      </c>
      <c r="J41" s="18">
        <f>COUNTIF($E$42:J42,"&gt;0")</f>
        <v>6</v>
      </c>
      <c r="K41" s="18">
        <f>COUNTIF($E$42:K42,"&gt;0")</f>
        <v>7</v>
      </c>
      <c r="L41" s="18">
        <f>COUNTIF($E$42:L42,"&gt;0")</f>
        <v>8</v>
      </c>
      <c r="M41" s="18">
        <f>COUNTIF($E$42:M42,"&gt;0")</f>
        <v>9</v>
      </c>
      <c r="N41" s="18">
        <f>COUNTIF($E$42:N42,"&gt;0")</f>
        <v>10</v>
      </c>
      <c r="O41" s="18">
        <f>COUNTIF($E$42:O42,"&gt;0")</f>
        <v>11</v>
      </c>
      <c r="P41" s="18">
        <f>COUNTIF($E$42:P42,"&gt;0")</f>
        <v>12</v>
      </c>
      <c r="Q41" s="18">
        <f>COUNTIF($E$42:Q42,"&gt;0")</f>
        <v>13</v>
      </c>
      <c r="R41" s="18">
        <f>COUNTIF($E$42:R42,"&gt;0")</f>
        <v>14</v>
      </c>
      <c r="S41" s="18">
        <f>COUNTIF($E$42:S42,"&gt;0")</f>
        <v>15</v>
      </c>
      <c r="T41" s="18">
        <f>COUNTIF($E$42:T42,"&gt;0")</f>
        <v>16</v>
      </c>
      <c r="U41" s="18">
        <f>COUNTIF($E$42:U42,"&gt;0")</f>
        <v>17</v>
      </c>
      <c r="V41" s="18">
        <f>COUNTIF($E$42:V42,"&gt;0")</f>
        <v>18</v>
      </c>
      <c r="W41" s="18">
        <f>COUNTIF($E$42:W42,"&gt;0")</f>
        <v>19</v>
      </c>
      <c r="X41" s="18">
        <f>COUNTIF($E$42:X42,"&gt;0")</f>
        <v>20</v>
      </c>
      <c r="Y41" s="18">
        <f>COUNTIF($E$42:Y42,"&gt;0")</f>
        <v>21</v>
      </c>
      <c r="Z41" s="18">
        <f>COUNTIF($E$42:Z42,"&gt;0")</f>
        <v>22</v>
      </c>
      <c r="AA41" s="18">
        <f>COUNTIF($E$42:AA42,"&gt;0")</f>
        <v>23</v>
      </c>
      <c r="AB41" s="18">
        <f>COUNTIF($E$42:AB42,"&gt;0")</f>
        <v>24</v>
      </c>
      <c r="AC41" s="18">
        <f>COUNTIF($E$42:AC42,"&gt;0")</f>
        <v>25</v>
      </c>
      <c r="AD41" s="18">
        <f>COUNTIF($E$42:AD42,"&gt;0")</f>
        <v>26</v>
      </c>
      <c r="AE41" s="18">
        <f>COUNTIF($E$42:AE42,"&gt;0")</f>
        <v>27</v>
      </c>
      <c r="AF41" s="18">
        <f>COUNTIF($E$42:AF42,"&gt;0")</f>
        <v>28</v>
      </c>
      <c r="AG41" s="18">
        <f>COUNTIF($E$42:AG42,"&gt;0")</f>
        <v>29</v>
      </c>
      <c r="AH41" s="18">
        <f>COUNTIF($E$42:AH42,"&gt;0")</f>
        <v>30</v>
      </c>
      <c r="AI41" s="18">
        <f>COUNTIF($E$42:AI42,"&gt;0")</f>
        <v>31</v>
      </c>
      <c r="AJ41" s="18">
        <f>COUNTIF($E$42:AJ42,"&gt;0")</f>
        <v>32</v>
      </c>
      <c r="AK41" s="18">
        <f>COUNTIF($E$42:AK42,"&gt;0")</f>
        <v>33</v>
      </c>
      <c r="AL41" s="18">
        <f>COUNTIF($E$42:AL42,"&gt;0")</f>
        <v>34</v>
      </c>
      <c r="AM41" s="18">
        <f>COUNTIF($E$42:AM42,"&gt;0")</f>
        <v>35</v>
      </c>
      <c r="AN41" s="18">
        <f>COUNTIF($E$42:AN42,"&gt;0")</f>
        <v>36</v>
      </c>
      <c r="AO41" s="18">
        <f>COUNTIF($E$42:AO42,"&gt;0")</f>
        <v>37</v>
      </c>
      <c r="AP41" s="18">
        <f>COUNTIF($E$42:AP42,"&gt;0")</f>
        <v>38</v>
      </c>
      <c r="AQ41" s="18">
        <f>COUNTIF($E$42:AQ42,"&gt;0")</f>
        <v>39</v>
      </c>
      <c r="AR41" s="18">
        <f>COUNTIF($E$42:AR42,"&gt;0")</f>
        <v>40</v>
      </c>
      <c r="AS41" s="18">
        <f>COUNTIF($E$42:AS42,"&gt;0")</f>
        <v>41</v>
      </c>
      <c r="AT41" s="18">
        <f>COUNTIF($E$42:AT42,"&gt;0")</f>
        <v>42</v>
      </c>
      <c r="AU41" s="18">
        <f>COUNTIF($E$42:AU42,"&gt;0")</f>
        <v>43</v>
      </c>
      <c r="AV41" s="18">
        <f>COUNTIF($E$42:AV42,"&gt;0")</f>
        <v>44</v>
      </c>
      <c r="AW41" s="18">
        <f>COUNTIF($E$42:AW42,"&gt;0")</f>
        <v>45</v>
      </c>
      <c r="AX41" s="18">
        <f>COUNTIF($E$42:AX42,"&gt;0")</f>
        <v>46</v>
      </c>
      <c r="AY41" s="18">
        <f>COUNTIF($E$42:AY42,"&gt;0")</f>
        <v>47</v>
      </c>
      <c r="AZ41" s="18">
        <f>COUNTIF($E$42:AZ42,"&gt;0")</f>
        <v>48</v>
      </c>
      <c r="BA41" s="18">
        <f>COUNTIF($E$42:BA42,"&gt;0")</f>
        <v>49</v>
      </c>
      <c r="BB41" s="18">
        <f>COUNTIF($E$42:BB42,"&gt;0")</f>
        <v>50</v>
      </c>
      <c r="BC41" s="18">
        <f>COUNTIF($E$42:BC42,"&gt;0")</f>
        <v>51</v>
      </c>
      <c r="BD41" s="18">
        <f>COUNTIF($E$42:BD42,"&gt;0")</f>
        <v>52</v>
      </c>
      <c r="BE41" s="18">
        <f>COUNTIF($E$42:BE42,"&gt;0")</f>
        <v>53</v>
      </c>
      <c r="BF41" s="18">
        <f>COUNTIF($E$42:BF42,"&gt;0")</f>
        <v>54</v>
      </c>
      <c r="BG41" s="18">
        <f>COUNTIF($E$42:BG42,"&gt;0")</f>
        <v>55</v>
      </c>
      <c r="BH41" s="18">
        <f>COUNTIF($E$42:BH42,"&gt;0")</f>
        <v>56</v>
      </c>
      <c r="BI41" s="18">
        <f>COUNTIF($E$42:BI42,"&gt;0")</f>
        <v>57</v>
      </c>
      <c r="BJ41" s="18">
        <f>COUNTIF($E$42:BJ42,"&gt;0")</f>
        <v>58</v>
      </c>
      <c r="BK41" s="18">
        <f>COUNTIF($E$42:BK42,"&gt;0")</f>
        <v>59</v>
      </c>
      <c r="BL41" s="18">
        <f>COUNTIF($E$42:BL42,"&gt;0")</f>
        <v>60</v>
      </c>
      <c r="BM41" s="18">
        <f>COUNTIF($E$42:BM42,"&gt;0")</f>
        <v>61</v>
      </c>
      <c r="BN41" s="18">
        <f>COUNTIF($E$42:BN42,"&gt;0")</f>
        <v>62</v>
      </c>
      <c r="BO41" s="18">
        <f>COUNTIF($E$42:BO42,"&gt;0")</f>
        <v>63</v>
      </c>
      <c r="BP41" s="18">
        <f>COUNTIF($E$42:BP42,"&gt;0")</f>
        <v>64</v>
      </c>
      <c r="BQ41" s="18">
        <f>COUNTIF($E$42:BQ42,"&gt;0")</f>
        <v>65</v>
      </c>
      <c r="BR41" s="18">
        <f>COUNTIF($E$42:BR42,"&gt;0")</f>
        <v>66</v>
      </c>
      <c r="BS41" s="18">
        <f>COUNTIF($E$42:BS42,"&gt;0")</f>
        <v>67</v>
      </c>
      <c r="BT41" s="18">
        <f>COUNTIF($E$42:BT42,"&gt;0")</f>
        <v>68</v>
      </c>
      <c r="BU41" s="18">
        <f>COUNTIF($E$42:BU42,"&gt;0")</f>
        <v>69</v>
      </c>
      <c r="BV41" s="18">
        <f>COUNTIF($E$42:BV42,"&gt;0")</f>
        <v>70</v>
      </c>
      <c r="BW41" s="18">
        <f>COUNTIF($E$42:BW42,"&gt;0")</f>
        <v>71</v>
      </c>
      <c r="BX41" s="18">
        <f>COUNTIF($E$42:BX42,"&gt;0")</f>
        <v>72</v>
      </c>
      <c r="BY41" s="18">
        <f>COUNTIF($E$42:BY42,"&gt;0")</f>
        <v>73</v>
      </c>
      <c r="BZ41" s="18">
        <f>COUNTIF($E$42:BZ42,"&gt;0")</f>
        <v>73</v>
      </c>
      <c r="CA41" s="25"/>
    </row>
    <row r="42" spans="1:80" x14ac:dyDescent="0.2">
      <c r="A42" s="19">
        <v>4</v>
      </c>
      <c r="B42" s="20" t="str">
        <f>VLOOKUP($A$42,$A$3:B39,2)</f>
        <v>Winterweizen</v>
      </c>
      <c r="C42" s="20" t="str">
        <f>VLOOKUP($A$42,$A$3:C33,3)</f>
        <v>dt/ha</v>
      </c>
      <c r="D42" s="21">
        <f>VLOOKUP($A$42,$A$3:D39,1:1)</f>
        <v>23.7</v>
      </c>
      <c r="E42" s="21">
        <f>VLOOKUP($A$42,$A$3:E39,1:1)</f>
        <v>21.812786119025514</v>
      </c>
      <c r="F42" s="21">
        <f>VLOOKUP($A$42,$A$3:F39,1:1)</f>
        <v>24.3</v>
      </c>
      <c r="G42" s="21">
        <f>VLOOKUP($A$42,$A$3:G39,1:1)</f>
        <v>25.3</v>
      </c>
      <c r="H42" s="21">
        <f>VLOOKUP($A$42,$A$3:H39,1:1)</f>
        <v>23.9</v>
      </c>
      <c r="I42" s="21">
        <f>VLOOKUP($A$42,$A$3:I39,1:1)</f>
        <v>24.8</v>
      </c>
      <c r="J42" s="21">
        <f>VLOOKUP($A$42,$A$3:J39,1:1)</f>
        <v>27.2</v>
      </c>
      <c r="K42" s="21">
        <f>VLOOKUP($A$42,$A$3:K39,1:1)</f>
        <v>26.5</v>
      </c>
      <c r="L42" s="21">
        <f>VLOOKUP($A$42,$A$3:L39,1:1)</f>
        <v>29.6</v>
      </c>
      <c r="M42" s="21">
        <f>VLOOKUP($A$42,$A$3:M39,1:1)</f>
        <v>30.7</v>
      </c>
      <c r="N42" s="21">
        <f>VLOOKUP($A$42,$A$3:N39,1:1)</f>
        <v>27.9</v>
      </c>
      <c r="O42" s="21">
        <f>VLOOKUP($A$42,$A$3:O39,1:1)</f>
        <v>32.200000000000003</v>
      </c>
      <c r="P42" s="21">
        <f>VLOOKUP($A$42,$A$3:P39,1:1)</f>
        <v>34.4</v>
      </c>
      <c r="Q42" s="21">
        <f>VLOOKUP($A$42,$A$3:Q39,1:1)</f>
        <v>29.3</v>
      </c>
      <c r="R42" s="21">
        <f>VLOOKUP($A$42,$A$3:R39,1:1)</f>
        <v>33.799999999999997</v>
      </c>
      <c r="S42" s="21">
        <f>VLOOKUP($A$42,$A$3:S39,1:1)</f>
        <v>34.4</v>
      </c>
      <c r="T42" s="21">
        <f>VLOOKUP($A$42,$A$3:T39,1:1)</f>
        <v>34.5</v>
      </c>
      <c r="U42" s="21">
        <f>VLOOKUP($A$42,$A$3:U39,1:1)</f>
        <v>29.8</v>
      </c>
      <c r="V42" s="21">
        <f>VLOOKUP($A$42,$A$3:V39,1:1)</f>
        <v>33.9</v>
      </c>
      <c r="W42" s="21">
        <f>VLOOKUP($A$42,$A$3:W39,1:1)</f>
        <v>42.6</v>
      </c>
      <c r="X42" s="21">
        <f>VLOOKUP($A$42,$A$3:X39,1:1)</f>
        <v>39</v>
      </c>
      <c r="Y42" s="21">
        <f>VLOOKUP($A$42,$A$3:Y39,1:1)</f>
        <v>37.6</v>
      </c>
      <c r="Z42" s="21">
        <f>VLOOKUP($A$42,$A$3:Z39,1:1)</f>
        <v>33.5</v>
      </c>
      <c r="AA42" s="21">
        <f>VLOOKUP($A$42,$A$3:AA39,1:1)</f>
        <v>45.9</v>
      </c>
      <c r="AB42" s="21">
        <f>VLOOKUP($A$42,$A$3:AB39,1:1)</f>
        <v>38.6</v>
      </c>
      <c r="AC42" s="21">
        <f>VLOOKUP($A$42,$A$3:AC39,1:1)</f>
        <v>42.3</v>
      </c>
      <c r="AD42" s="21">
        <f>VLOOKUP($A$42,$A$3:AD39,1:1)</f>
        <v>45.3</v>
      </c>
      <c r="AE42" s="21">
        <f>VLOOKUP($A$42,$A$3:AE39,1:1)</f>
        <v>39.200000000000003</v>
      </c>
      <c r="AF42" s="21">
        <f>VLOOKUP($A$42,$A$3:AF39,1:1)</f>
        <v>40.799999999999997</v>
      </c>
      <c r="AG42" s="21">
        <f>VLOOKUP($A$42,$A$3:AG39,1:1)</f>
        <v>40.799999999999997</v>
      </c>
      <c r="AH42" s="21">
        <f>VLOOKUP($A$42,$A$3:AH39,1:1)</f>
        <v>45.2</v>
      </c>
      <c r="AI42" s="21">
        <f>VLOOKUP($A$42,$A$3:AI39,1:1)</f>
        <v>47.8</v>
      </c>
      <c r="AJ42" s="21">
        <f>VLOOKUP($A$42,$A$3:AJ39,1:1)</f>
        <v>45.8</v>
      </c>
      <c r="AK42" s="21">
        <f>VLOOKUP($A$42,$A$3:AK39,1:1)</f>
        <v>49.9</v>
      </c>
      <c r="AL42" s="21">
        <f>VLOOKUP($A$42,$A$3:AL39,1:1)</f>
        <v>50</v>
      </c>
      <c r="AM42" s="21">
        <f>VLOOKUP($A$42,$A$3:AM39,1:1)</f>
        <v>47.5</v>
      </c>
      <c r="AN42" s="21">
        <f>VLOOKUP($A$42,$A$3:AN39,1:1)</f>
        <v>57.8</v>
      </c>
      <c r="AO42" s="21">
        <f>VLOOKUP($A$42,$A$3:AO39,1:1)</f>
        <v>56.7</v>
      </c>
      <c r="AP42" s="21">
        <f>VLOOKUP($A$42,$A$3:AP39,1:1)</f>
        <v>50.3</v>
      </c>
      <c r="AQ42" s="21">
        <f>VLOOKUP($A$42,$A$3:AQ39,1:1)</f>
        <v>49</v>
      </c>
      <c r="AR42" s="21">
        <f>VLOOKUP($A$42,$A$3:AR39,1:1)</f>
        <v>62.5</v>
      </c>
      <c r="AS42" s="21">
        <f>VLOOKUP($A$42,$A$3:AS39,1:1)</f>
        <v>61.1</v>
      </c>
      <c r="AT42" s="21">
        <f>VLOOKUP($A$42,$A$3:AT39,1:1)</f>
        <v>61.2</v>
      </c>
      <c r="AU42" s="21">
        <f>VLOOKUP($A$42,$A$3:AU39,1:1)</f>
        <v>67.900000000000006</v>
      </c>
      <c r="AV42" s="21">
        <f>VLOOKUP($A$42,$A$3:AV39,1:1)</f>
        <v>62.2</v>
      </c>
      <c r="AW42" s="21">
        <f>VLOOKUP($A$42,$A$3:AW39,1:1)</f>
        <v>65.3</v>
      </c>
      <c r="AX42" s="21">
        <f>VLOOKUP($A$42,$A$3:AX39,1:1)</f>
        <v>60.4</v>
      </c>
      <c r="AY42" s="21">
        <f>VLOOKUP($A$42,$A$3:AY39,1:1)</f>
        <v>55.4</v>
      </c>
      <c r="AZ42" s="21">
        <f>VLOOKUP($A$42,$A$3:AZ39,1:1)</f>
        <v>73.8</v>
      </c>
      <c r="BA42" s="21">
        <f>VLOOKUP($A$42,$A$3:BA39,1:1)</f>
        <v>67.7</v>
      </c>
      <c r="BB42" s="21">
        <f>VLOOKUP($A$42,$A$3:BB39,1:1)</f>
        <v>72.7</v>
      </c>
      <c r="BC42" s="21">
        <f>VLOOKUP($A$42,$A$3:BC39,1:1)</f>
        <v>63.3</v>
      </c>
      <c r="BD42" s="21">
        <f>VLOOKUP($A$42,$A$3:BD39,1:1)</f>
        <v>69.599999999999994</v>
      </c>
      <c r="BE42" s="21">
        <f>VLOOKUP($A$42,$A$3:BE39,1:1)</f>
        <v>70.2</v>
      </c>
      <c r="BF42" s="21">
        <f>VLOOKUP($A$42,$A$3:BF39,1:1)</f>
        <v>68.2</v>
      </c>
      <c r="BG42" s="21">
        <f>VLOOKUP($A$42,$A$3:BG39,1:1)</f>
        <v>59.7</v>
      </c>
      <c r="BH42" s="21">
        <f>VLOOKUP($A$42,$A$3:BH39,1:1)</f>
        <v>77.7</v>
      </c>
      <c r="BI42" s="21">
        <f>VLOOKUP($A$42,$A$3:BI39,1:1)</f>
        <v>68.8</v>
      </c>
      <c r="BJ42" s="21">
        <f>VLOOKUP($A$42,$A$3:BJ39,1:1)</f>
        <v>73.5</v>
      </c>
      <c r="BK42" s="21">
        <f>VLOOKUP($A$42,$A$3:BK39,1:1)</f>
        <v>72.3</v>
      </c>
      <c r="BL42" s="21">
        <f>VLOOKUP($A$42,$A$3:BL39,1:1)</f>
        <v>74.400000000000006</v>
      </c>
      <c r="BM42" s="21">
        <f>VLOOKUP($A$42,$A$3:BM39,1:1)</f>
        <v>73.5</v>
      </c>
      <c r="BN42" s="21">
        <f>VLOOKUP($A$42,$A$3:BN39,1:1)</f>
        <v>69</v>
      </c>
      <c r="BO42" s="21">
        <f>VLOOKUP($A$42,$A$3:BO39,1:1)</f>
        <v>69.8</v>
      </c>
      <c r="BP42" s="21">
        <f>VLOOKUP($A$42,$A$3:BP39,1:1)</f>
        <v>68.3</v>
      </c>
      <c r="BQ42" s="21">
        <f>VLOOKUP($A$42,$A$3:BQ39,1:1)</f>
        <v>74.139489051094884</v>
      </c>
      <c r="BR42" s="21">
        <f>VLOOKUP($A$42,$A$3:BR39,1:1)</f>
        <v>80.5</v>
      </c>
      <c r="BS42" s="21">
        <f>VLOOKUP($A$42,$A$3:BS39,1:1)</f>
        <v>76.3</v>
      </c>
      <c r="BT42" s="21">
        <f>VLOOKUP($A$42,$A$3:BT39,1:1)</f>
        <v>67.8</v>
      </c>
      <c r="BU42" s="21">
        <f>VLOOKUP($A$42,$A$3:BU39,1:1)</f>
        <v>77.8</v>
      </c>
      <c r="BV42" s="21">
        <f>VLOOKUP($A$42,$A$3:BV39,1:1)</f>
        <v>76</v>
      </c>
      <c r="BW42" s="21">
        <f>VLOOKUP($A$42,$A$3:BW39,1:1)</f>
        <v>76.2</v>
      </c>
      <c r="BX42" s="21">
        <f>VLOOKUP($A$42,$A$3:BX39,1:1)</f>
        <v>80.7</v>
      </c>
      <c r="BY42" s="21">
        <f>VLOOKUP($A$42,$A$3:BY39,1:1)</f>
        <v>66.8</v>
      </c>
      <c r="BZ42" s="21">
        <f>VLOOKUP($A$42,$A$3:BZ39,1:1)</f>
        <v>0</v>
      </c>
      <c r="CA42" s="26">
        <f>SUM(D42:BY42)</f>
        <v>3858.3522751701207</v>
      </c>
    </row>
    <row r="45" spans="1:80" x14ac:dyDescent="0.2">
      <c r="B45" s="13" t="s">
        <v>3</v>
      </c>
      <c r="C45" s="8"/>
      <c r="D45" s="3" t="s">
        <v>1</v>
      </c>
      <c r="E45" s="3">
        <v>149.10599999999999</v>
      </c>
      <c r="F45" s="3">
        <v>637.35299999999995</v>
      </c>
      <c r="G45" s="3">
        <v>547.18200000000002</v>
      </c>
      <c r="H45" s="3">
        <v>390.77199999999999</v>
      </c>
      <c r="I45" s="3">
        <v>240.50800000000001</v>
      </c>
      <c r="J45" s="6">
        <v>443.11500000000001</v>
      </c>
      <c r="K45" s="6">
        <v>396.714</v>
      </c>
      <c r="L45" s="6">
        <v>119.099</v>
      </c>
      <c r="M45" s="6">
        <v>359.25700000000001</v>
      </c>
      <c r="N45" s="6">
        <v>811.7</v>
      </c>
      <c r="O45" s="6">
        <v>705.7</v>
      </c>
      <c r="P45" s="3">
        <v>1308.393</v>
      </c>
      <c r="Q45" s="3">
        <v>626.404</v>
      </c>
      <c r="R45" s="3">
        <v>848.45500000000004</v>
      </c>
      <c r="S45" s="3">
        <v>1307.818</v>
      </c>
      <c r="T45" s="3">
        <v>1347.415</v>
      </c>
      <c r="U45" s="3">
        <v>1051.7850000000001</v>
      </c>
      <c r="V45" s="3">
        <v>1025.451</v>
      </c>
      <c r="W45" s="3">
        <v>1225.261</v>
      </c>
      <c r="X45" s="3">
        <v>1349.8219999999999</v>
      </c>
      <c r="Y45" s="3">
        <v>1154.8109999999999</v>
      </c>
      <c r="Z45" s="3">
        <v>2102.482</v>
      </c>
      <c r="AA45" s="5">
        <v>1190.953</v>
      </c>
      <c r="AB45" s="3">
        <v>1566.9760000000001</v>
      </c>
      <c r="AC45" s="3">
        <v>2256.7240000000002</v>
      </c>
      <c r="AD45" s="3">
        <v>1057.126</v>
      </c>
      <c r="AE45" s="3">
        <v>1847.5119999999999</v>
      </c>
      <c r="AF45" s="3">
        <v>2240.7220000000002</v>
      </c>
      <c r="AG45" s="3">
        <v>3015.1109999999999</v>
      </c>
      <c r="AH45" s="3">
        <v>1662.923</v>
      </c>
      <c r="AI45" s="3">
        <v>2484.239</v>
      </c>
      <c r="AJ45" s="3">
        <v>1047.569</v>
      </c>
      <c r="AK45" s="3">
        <v>1554.5740000000001</v>
      </c>
      <c r="AL45" s="3">
        <v>4077.4810000000002</v>
      </c>
      <c r="AM45" s="3">
        <v>3294.6289999999999</v>
      </c>
      <c r="AN45" s="3">
        <v>1906.9179999999999</v>
      </c>
      <c r="AO45" s="3">
        <v>1077.8240000000001</v>
      </c>
      <c r="AP45" s="3">
        <v>2821.549</v>
      </c>
      <c r="AQ45" s="6">
        <v>2021.627</v>
      </c>
      <c r="AR45" s="6">
        <v>2578.6289999999999</v>
      </c>
      <c r="AS45" s="6">
        <v>3759.1570000000002</v>
      </c>
      <c r="AT45" s="6">
        <v>2101.5830000000001</v>
      </c>
      <c r="AU45" s="6">
        <v>2177.645</v>
      </c>
      <c r="AV45" s="6">
        <v>2916</v>
      </c>
      <c r="AW45" s="6">
        <v>2110</v>
      </c>
      <c r="AX45" s="6">
        <v>2319.8339999999998</v>
      </c>
      <c r="AY45" s="6">
        <v>1745.5989999999999</v>
      </c>
      <c r="AZ45" s="6">
        <v>2029.8510000000001</v>
      </c>
      <c r="BA45" s="6">
        <v>2099.69</v>
      </c>
      <c r="BB45" s="6">
        <v>2706.97</v>
      </c>
      <c r="BC45" s="6">
        <v>2992.3209999999999</v>
      </c>
      <c r="BD45" s="6">
        <v>2295.2020000000002</v>
      </c>
      <c r="BE45" s="6">
        <v>2191.645</v>
      </c>
      <c r="BF45" s="6">
        <v>2528.7449999999999</v>
      </c>
      <c r="BG45" s="4">
        <v>1860.4780000000001</v>
      </c>
      <c r="BH45" s="4">
        <v>2538.4470000000001</v>
      </c>
      <c r="BI45" s="4">
        <v>2372.163</v>
      </c>
      <c r="BJ45" s="4">
        <v>2212.6640000000002</v>
      </c>
      <c r="BK45" s="4">
        <v>2480.2620000000002</v>
      </c>
      <c r="BL45" s="4">
        <v>2377.3200000000002</v>
      </c>
      <c r="BM45" s="4">
        <v>2177.5770000000002</v>
      </c>
      <c r="BN45" s="4">
        <v>1766.694</v>
      </c>
      <c r="BO45" s="4">
        <v>2366.4780000000001</v>
      </c>
      <c r="BP45" s="1">
        <v>2299.67</v>
      </c>
      <c r="BQ45" s="1">
        <v>1993.97</v>
      </c>
      <c r="BR45" s="1">
        <v>2356.02</v>
      </c>
      <c r="BS45" s="1">
        <v>2231.768</v>
      </c>
      <c r="BT45" s="1">
        <v>2433.8000000000002</v>
      </c>
      <c r="BU45" s="29">
        <v>2014.8589999999999</v>
      </c>
    </row>
    <row r="46" spans="1:80" x14ac:dyDescent="0.2">
      <c r="B46" s="13" t="s">
        <v>15</v>
      </c>
      <c r="C46" s="8"/>
      <c r="D46" s="3" t="s">
        <v>1</v>
      </c>
      <c r="E46" s="3" t="s">
        <v>1</v>
      </c>
      <c r="F46" s="3" t="s">
        <v>1</v>
      </c>
      <c r="G46" s="3">
        <v>12.595000000000001</v>
      </c>
      <c r="H46" s="3">
        <v>12.694000000000001</v>
      </c>
      <c r="I46" s="3">
        <v>12.673999999999999</v>
      </c>
      <c r="J46" s="6">
        <v>12.888</v>
      </c>
      <c r="K46" s="6">
        <v>13.298999999999999</v>
      </c>
      <c r="L46" s="6">
        <v>12.976000000000001</v>
      </c>
      <c r="M46" s="6">
        <v>12.686</v>
      </c>
      <c r="N46" s="6">
        <v>12.746</v>
      </c>
      <c r="O46" s="6">
        <v>12.882</v>
      </c>
      <c r="P46" s="3">
        <v>14.144</v>
      </c>
      <c r="Q46" s="3">
        <v>14.897</v>
      </c>
      <c r="R46" s="3">
        <v>15.084</v>
      </c>
      <c r="S46" s="3">
        <v>15.311</v>
      </c>
      <c r="T46" s="3">
        <v>15.348000000000001</v>
      </c>
      <c r="U46" s="3">
        <v>15.247999999999999</v>
      </c>
      <c r="V46" s="3"/>
      <c r="W46" s="3">
        <v>15.164999999999999</v>
      </c>
      <c r="X46" s="3">
        <v>15.318</v>
      </c>
      <c r="Y46" s="3">
        <v>15.614000000000001</v>
      </c>
      <c r="Z46" s="3">
        <v>16.968</v>
      </c>
      <c r="AA46" s="5">
        <v>18.234000000000002</v>
      </c>
      <c r="AB46" s="3">
        <v>19.222000000000001</v>
      </c>
      <c r="AC46" s="3">
        <f>12.128+7.776</f>
        <v>19.904</v>
      </c>
      <c r="AD46" s="3">
        <f>12.553+7.945</f>
        <v>20.498000000000001</v>
      </c>
      <c r="AE46" s="3">
        <f>13.001+7.954</f>
        <v>20.954999999999998</v>
      </c>
      <c r="AF46" s="3">
        <v>20.670999999999999</v>
      </c>
      <c r="AG46" s="3">
        <v>22.423999999999999</v>
      </c>
      <c r="AH46" s="3">
        <v>22.861000000000001</v>
      </c>
      <c r="AI46" s="3">
        <v>22.869</v>
      </c>
      <c r="AJ46" s="6">
        <v>22.63</v>
      </c>
      <c r="AK46" s="3">
        <v>23.352</v>
      </c>
      <c r="AL46" s="3">
        <v>23.626000000000001</v>
      </c>
      <c r="AM46" s="3">
        <v>23.757999999999999</v>
      </c>
      <c r="AN46" s="3">
        <v>24.596</v>
      </c>
      <c r="AO46" s="3">
        <v>24.715</v>
      </c>
      <c r="AP46" s="3">
        <v>24.385000000000002</v>
      </c>
      <c r="AQ46" s="6">
        <v>24.667999999999999</v>
      </c>
      <c r="AR46" s="6">
        <v>24.864000000000001</v>
      </c>
      <c r="AS46" s="6">
        <v>25.210999999999999</v>
      </c>
      <c r="AT46" s="6">
        <v>27.516999999999999</v>
      </c>
      <c r="AU46" s="6">
        <v>27.571999999999999</v>
      </c>
      <c r="AV46" s="6">
        <v>27.648</v>
      </c>
      <c r="AW46" s="6">
        <v>27.608000000000001</v>
      </c>
      <c r="AX46" s="6">
        <v>27.254999999999999</v>
      </c>
      <c r="AY46" s="6">
        <v>27.03</v>
      </c>
      <c r="AZ46" s="6">
        <v>26.597999999999999</v>
      </c>
      <c r="BA46" s="6">
        <v>26.405999999999999</v>
      </c>
      <c r="BB46" s="6">
        <v>26.901</v>
      </c>
      <c r="BC46" s="6">
        <v>26.177</v>
      </c>
      <c r="BD46" s="6">
        <v>27.161000000000001</v>
      </c>
      <c r="BE46" s="6">
        <v>27.218</v>
      </c>
      <c r="BF46" s="6">
        <v>26.416</v>
      </c>
      <c r="BG46" s="4">
        <v>26.478999999999999</v>
      </c>
      <c r="BH46" s="4">
        <v>26.614000000000001</v>
      </c>
      <c r="BI46" s="4">
        <v>26.722000000000001</v>
      </c>
      <c r="BJ46" s="4">
        <v>26.719000000000001</v>
      </c>
      <c r="BK46" s="4">
        <v>26.875</v>
      </c>
      <c r="BL46" s="4">
        <v>26.805</v>
      </c>
      <c r="BM46" s="4">
        <v>26.811</v>
      </c>
      <c r="BN46" s="4">
        <v>26.716999999999999</v>
      </c>
      <c r="BO46" s="4">
        <v>26.619</v>
      </c>
      <c r="BP46" s="4">
        <v>25.568999999999999</v>
      </c>
      <c r="BQ46" s="4">
        <v>26.588000000000001</v>
      </c>
      <c r="BR46" s="4">
        <v>26.588000000000001</v>
      </c>
      <c r="BS46" s="4">
        <v>27.228999999999999</v>
      </c>
      <c r="BT46" s="4">
        <v>27.117999999999999</v>
      </c>
      <c r="BU46" s="4">
        <v>27.109000000000002</v>
      </c>
    </row>
    <row r="48" spans="1:80" x14ac:dyDescent="0.2">
      <c r="B48" s="9" t="s">
        <v>38</v>
      </c>
      <c r="C48" s="9" t="s">
        <v>39</v>
      </c>
    </row>
    <row r="49" spans="2:77" hidden="1" x14ac:dyDescent="0.2"/>
    <row r="50" spans="2:77" hidden="1" x14ac:dyDescent="0.2"/>
    <row r="51" spans="2:77" hidden="1" x14ac:dyDescent="0.2">
      <c r="B51" s="9" t="s">
        <v>41</v>
      </c>
      <c r="C51" s="9" t="s">
        <v>42</v>
      </c>
      <c r="BC51" s="28">
        <v>3690950</v>
      </c>
      <c r="BD51" s="28">
        <v>4200511</v>
      </c>
      <c r="BE51" s="28">
        <v>3050846</v>
      </c>
      <c r="BF51" s="28">
        <v>3613175</v>
      </c>
      <c r="BG51" s="28">
        <v>2848776</v>
      </c>
      <c r="BH51" s="28">
        <v>3751351</v>
      </c>
      <c r="BI51" s="28" t="s">
        <v>44</v>
      </c>
      <c r="BJ51" s="28">
        <v>2593381</v>
      </c>
      <c r="BK51" s="28">
        <v>3700225</v>
      </c>
      <c r="BL51" s="28">
        <v>3328605</v>
      </c>
      <c r="BM51" s="28">
        <v>3233022</v>
      </c>
      <c r="BN51" s="28">
        <v>2779722</v>
      </c>
      <c r="BO51" s="28">
        <v>3088382</v>
      </c>
      <c r="BP51" s="28">
        <f>3031360/14820</f>
        <v>204.54520917678812</v>
      </c>
      <c r="BQ51" s="28">
        <v>3057112</v>
      </c>
      <c r="BR51" s="28">
        <v>3434311</v>
      </c>
      <c r="BS51" s="28">
        <v>3013631</v>
      </c>
      <c r="BT51" s="28">
        <f>2916489/10840</f>
        <v>269.0488007380074</v>
      </c>
    </row>
    <row r="52" spans="2:77" hidden="1" x14ac:dyDescent="0.2">
      <c r="B52" s="9" t="s">
        <v>43</v>
      </c>
      <c r="C52" s="9" t="s">
        <v>42</v>
      </c>
      <c r="BC52" s="28">
        <v>462398</v>
      </c>
      <c r="BD52" s="28">
        <v>557012</v>
      </c>
      <c r="BE52" s="28">
        <v>360204</v>
      </c>
      <c r="BF52" s="28">
        <v>390293</v>
      </c>
      <c r="BG52" s="28">
        <v>447736</v>
      </c>
      <c r="BH52" s="28">
        <v>704598</v>
      </c>
      <c r="BI52" s="28" t="s">
        <v>45</v>
      </c>
      <c r="BJ52" s="28">
        <v>415125</v>
      </c>
      <c r="BK52" s="28">
        <v>528467</v>
      </c>
      <c r="BL52" s="28">
        <v>253742</v>
      </c>
      <c r="BM52" s="28">
        <v>489011</v>
      </c>
      <c r="BN52" s="28">
        <v>413619</v>
      </c>
      <c r="BO52" s="28">
        <v>478249</v>
      </c>
      <c r="BP52" s="28">
        <f>233400/4052</f>
        <v>57.601184600197435</v>
      </c>
      <c r="BQ52" s="28">
        <v>309411</v>
      </c>
      <c r="BR52" s="28">
        <v>441957</v>
      </c>
      <c r="BS52" s="28">
        <v>324677</v>
      </c>
      <c r="BT52" s="28">
        <f>258474/3980</f>
        <v>64.94321608040201</v>
      </c>
    </row>
    <row r="53" spans="2:77" hidden="1" x14ac:dyDescent="0.2">
      <c r="B53" s="9" t="s">
        <v>40</v>
      </c>
      <c r="C53" s="9" t="s">
        <v>48</v>
      </c>
      <c r="BI53" t="s">
        <v>49</v>
      </c>
      <c r="BU53">
        <f>81053/1586</f>
        <v>51.105296343001264</v>
      </c>
      <c r="BV53">
        <f>110329/1585</f>
        <v>69.608201892744475</v>
      </c>
      <c r="BW53">
        <f>78071/1597</f>
        <v>48.88603631809643</v>
      </c>
      <c r="BX53">
        <f>75628/1505</f>
        <v>50.251162790697677</v>
      </c>
      <c r="BY53" s="31">
        <f>86804/1499</f>
        <v>57.907938625750504</v>
      </c>
    </row>
    <row r="54" spans="2:77" hidden="1" x14ac:dyDescent="0.2"/>
    <row r="57" spans="2:77" x14ac:dyDescent="0.2">
      <c r="B57" s="9" t="s">
        <v>54</v>
      </c>
    </row>
    <row r="58" spans="2:77" hidden="1" x14ac:dyDescent="0.2"/>
    <row r="59" spans="2:77" hidden="1" x14ac:dyDescent="0.2"/>
    <row r="60" spans="2:77" hidden="1" x14ac:dyDescent="0.2"/>
    <row r="61" spans="2:77" hidden="1" x14ac:dyDescent="0.2"/>
    <row r="62" spans="2:77" hidden="1" x14ac:dyDescent="0.2"/>
    <row r="63" spans="2:77" hidden="1" x14ac:dyDescent="0.2"/>
    <row r="64" spans="2:77" hidden="1" x14ac:dyDescent="0.2"/>
    <row r="65" spans="74:81" hidden="1" x14ac:dyDescent="0.2"/>
    <row r="66" spans="74:81" hidden="1" x14ac:dyDescent="0.2"/>
    <row r="67" spans="74:81" x14ac:dyDescent="0.2">
      <c r="BV67" t="s">
        <v>33</v>
      </c>
      <c r="CA67" s="1">
        <f>LOOKUP(2,1/E42:BY42,E42:BY42)</f>
        <v>66.8</v>
      </c>
    </row>
    <row r="68" spans="74:81" x14ac:dyDescent="0.2">
      <c r="BV68" t="s">
        <v>34</v>
      </c>
      <c r="CA68" s="1">
        <f>HLOOKUP(1,E41:BY42,2)</f>
        <v>21.812786119025514</v>
      </c>
      <c r="CC68" s="4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scale="7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Diagramm Hektarerträge</vt:lpstr>
      <vt:lpstr>Daten Hektarerträge</vt:lpstr>
      <vt:lpstr>'Daten Hektarerträge'!Druckbereich</vt:lpstr>
      <vt:lpstr>'Daten Hektarerträge'!Drucktitel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Stock, Martina (LEL-SG)</cp:lastModifiedBy>
  <cp:lastPrinted>2017-05-08T12:04:40Z</cp:lastPrinted>
  <dcterms:created xsi:type="dcterms:W3CDTF">2012-12-18T10:55:49Z</dcterms:created>
  <dcterms:modified xsi:type="dcterms:W3CDTF">2022-08-05T12:04:54Z</dcterms:modified>
</cp:coreProperties>
</file>