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3\Referat_31\03_Statistik\05_Infodienst\B_Daten und Fakten\2_Allgemein\2_6_Bruttowertschöpfung\"/>
    </mc:Choice>
  </mc:AlternateContent>
  <bookViews>
    <workbookView xWindow="435" yWindow="120" windowWidth="16500" windowHeight="10380"/>
  </bookViews>
  <sheets>
    <sheet name="Diagramm BWS" sheetId="1" r:id="rId1"/>
  </sheets>
  <definedNames>
    <definedName name="_xlnm.Print_Area" localSheetId="0">'Diagramm BWS'!$A$1:$K$32</definedName>
  </definedNames>
  <calcPr calcId="162913"/>
</workbook>
</file>

<file path=xl/calcChain.xml><?xml version="1.0" encoding="utf-8"?>
<calcChain xmlns="http://schemas.openxmlformats.org/spreadsheetml/2006/main">
  <c r="J31" i="1" l="1"/>
  <c r="J32" i="1"/>
  <c r="B52" i="1"/>
  <c r="Z45" i="1"/>
  <c r="AA45" i="1"/>
  <c r="AB45" i="1"/>
  <c r="Y45" i="1" l="1"/>
  <c r="W45" i="1" l="1"/>
  <c r="X45" i="1"/>
  <c r="U45" i="1"/>
  <c r="V45" i="1"/>
  <c r="B38" i="1" l="1"/>
  <c r="B43" i="1" s="1"/>
  <c r="C38" i="1"/>
  <c r="D38" i="1"/>
  <c r="E38" i="1"/>
  <c r="F38" i="1"/>
  <c r="G38" i="1"/>
  <c r="H38" i="1"/>
  <c r="I38" i="1"/>
  <c r="J38" i="1"/>
  <c r="K38" i="1"/>
  <c r="L38" i="1"/>
  <c r="C43" i="1" s="1"/>
  <c r="M38" i="1"/>
  <c r="N38" i="1"/>
  <c r="O38" i="1"/>
  <c r="P38" i="1"/>
  <c r="Q38" i="1"/>
  <c r="R38" i="1"/>
  <c r="S38" i="1"/>
  <c r="T38" i="1"/>
  <c r="U38" i="1"/>
  <c r="V38" i="1"/>
  <c r="D43" i="1" s="1"/>
  <c r="W38" i="1"/>
  <c r="X38" i="1"/>
  <c r="Y38" i="1"/>
  <c r="Z38" i="1"/>
  <c r="AA38" i="1"/>
  <c r="AB38" i="1"/>
  <c r="AC38" i="1"/>
  <c r="AD38" i="1"/>
  <c r="AE38" i="1"/>
  <c r="AF38" i="1"/>
  <c r="E43" i="1" s="1"/>
  <c r="AG38" i="1"/>
  <c r="AH38" i="1"/>
  <c r="AI38" i="1"/>
  <c r="AJ38" i="1"/>
  <c r="AK38" i="1"/>
  <c r="AL38" i="1"/>
  <c r="AM38" i="1"/>
  <c r="AN38" i="1"/>
  <c r="AO38" i="1"/>
  <c r="AO40" i="1" s="1"/>
  <c r="AP38" i="1"/>
  <c r="F43" i="1" s="1"/>
  <c r="B39" i="1"/>
  <c r="B44" i="1" s="1"/>
  <c r="C39" i="1"/>
  <c r="D39" i="1"/>
  <c r="D40" i="1" s="1"/>
  <c r="E39" i="1"/>
  <c r="F39" i="1"/>
  <c r="F40" i="1" s="1"/>
  <c r="G39" i="1"/>
  <c r="H39" i="1"/>
  <c r="H40" i="1" s="1"/>
  <c r="I39" i="1"/>
  <c r="J39" i="1"/>
  <c r="J40" i="1" s="1"/>
  <c r="K39" i="1"/>
  <c r="L39" i="1"/>
  <c r="M39" i="1"/>
  <c r="N39" i="1"/>
  <c r="N40" i="1" s="1"/>
  <c r="O39" i="1"/>
  <c r="P39" i="1"/>
  <c r="P40" i="1" s="1"/>
  <c r="Q39" i="1"/>
  <c r="R39" i="1"/>
  <c r="R40" i="1" s="1"/>
  <c r="S39" i="1"/>
  <c r="T39" i="1"/>
  <c r="T40" i="1" s="1"/>
  <c r="U39" i="1"/>
  <c r="V39" i="1"/>
  <c r="W39" i="1"/>
  <c r="X39" i="1"/>
  <c r="X40" i="1" s="1"/>
  <c r="Y39" i="1"/>
  <c r="Z39" i="1"/>
  <c r="Z40" i="1" s="1"/>
  <c r="AA39" i="1"/>
  <c r="AB39" i="1"/>
  <c r="AB40" i="1" s="1"/>
  <c r="AC39" i="1"/>
  <c r="AD39" i="1"/>
  <c r="AD40" i="1" s="1"/>
  <c r="AE39" i="1"/>
  <c r="AF39" i="1"/>
  <c r="AG39" i="1"/>
  <c r="AH39" i="1"/>
  <c r="AH40" i="1" s="1"/>
  <c r="AI39" i="1"/>
  <c r="AJ39" i="1"/>
  <c r="AJ40" i="1" s="1"/>
  <c r="AK39" i="1"/>
  <c r="AL39" i="1"/>
  <c r="AL40" i="1" s="1"/>
  <c r="AM39" i="1"/>
  <c r="AN39" i="1"/>
  <c r="AN40" i="1" s="1"/>
  <c r="AO39" i="1"/>
  <c r="AP39" i="1"/>
  <c r="AQ40" i="1"/>
  <c r="AR40" i="1"/>
  <c r="AS40" i="1"/>
  <c r="AT40" i="1"/>
  <c r="AU40" i="1"/>
  <c r="AV40" i="1"/>
  <c r="AW40" i="1"/>
  <c r="AX40" i="1"/>
  <c r="AY40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AF40" i="1" l="1"/>
  <c r="E45" i="1" s="1"/>
  <c r="E44" i="1"/>
  <c r="V40" i="1"/>
  <c r="D45" i="1" s="1"/>
  <c r="D44" i="1"/>
  <c r="L40" i="1"/>
  <c r="C45" i="1" s="1"/>
  <c r="C44" i="1"/>
  <c r="AP40" i="1"/>
  <c r="F45" i="1" s="1"/>
  <c r="F44" i="1"/>
  <c r="AM40" i="1"/>
  <c r="AK40" i="1"/>
  <c r="AI40" i="1"/>
  <c r="AG40" i="1"/>
  <c r="AE40" i="1"/>
  <c r="AC40" i="1"/>
  <c r="AA40" i="1"/>
  <c r="Y40" i="1"/>
  <c r="W40" i="1"/>
  <c r="U40" i="1"/>
  <c r="S40" i="1"/>
  <c r="Q40" i="1"/>
  <c r="O40" i="1"/>
  <c r="M40" i="1"/>
  <c r="K40" i="1"/>
  <c r="I40" i="1"/>
  <c r="G40" i="1"/>
  <c r="E40" i="1"/>
  <c r="C40" i="1"/>
  <c r="B40" i="1"/>
  <c r="B45" i="1" s="1"/>
</calcChain>
</file>

<file path=xl/sharedStrings.xml><?xml version="1.0" encoding="utf-8"?>
<sst xmlns="http://schemas.openxmlformats.org/spreadsheetml/2006/main" count="26" uniqueCount="21">
  <si>
    <t>StaLa Volkswirtschaftliche Gesamtrechnungen, Stat. Bericht , 02.10.2014</t>
  </si>
  <si>
    <t>1999-2013</t>
  </si>
  <si>
    <t>ab 1970 Bruttowertschöpfung, vorher Bruttoinlandsprodukt</t>
  </si>
  <si>
    <t>Anteil LuF</t>
  </si>
  <si>
    <t>BWS Land- und Forstwirtschaft</t>
  </si>
  <si>
    <t>Bruttowertschöpfung insgesamt</t>
  </si>
  <si>
    <t>Jahr</t>
  </si>
  <si>
    <t>Quelle:</t>
  </si>
  <si>
    <t xml:space="preserve">Quelle: Statistisches Landesamt Baden-Württemberg </t>
  </si>
  <si>
    <t>© Statistisches Landesamt Baden-Württemberg,      Stuttgart, 2011.</t>
  </si>
  <si>
    <t>Die Bruttowertschöpfung, die zu Herstellungspreisen bewertet wird, ergibt sich für jeden Wirtschaftsbereich aus dem Bruttoproduktionswert zu Herstellungspreisen abzüglich der Vorleistungen zu Anschaffungspreisen.</t>
  </si>
  <si>
    <t>Bruttowertschöpfung</t>
  </si>
  <si>
    <t>zu Herstellungspreisen</t>
  </si>
  <si>
    <t>Zunahme</t>
  </si>
  <si>
    <t>Zunahme BWS LuF seit 2010:</t>
  </si>
  <si>
    <t>Mill. €</t>
  </si>
  <si>
    <t>Statistisches Landesamt Baden-Württemberg, Stuttgart, 2022</t>
  </si>
  <si>
    <t>Bearbeitung: LEL Schwäbisch Gmünd, Abt. 3; 08/2022</t>
  </si>
  <si>
    <t>1950 - 2021</t>
  </si>
  <si>
    <t>Volkswirtschaftliche Gesamtrechnungen, Bruttoinlandsprodukt und Erwerbstätige 2004 bis 2021</t>
  </si>
  <si>
    <t>Index 2021 (2010 = 100):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</si>
</sst>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\ ###\ ###\ ##0\ \ ;\ \–###\ ###\ ##0\ \ ;\ * \–\ \ ;\ * @\ \ "/>
    <numFmt numFmtId="166" formatCode="_-* #,##0.0\ _€_-;\-* #,##0.0\ _€_-;_-* &quot;-&quot;??\ _€_-;_-@_-"/>
    <numFmt numFmtId="167" formatCode="_-* #,##0.0\ _€_-;\-* #,##0.0\ _€_-;_-* &quot;-&quot;?\ _€_-;_-@_-"/>
    <numFmt numFmtId="168" formatCode="_-* #,##0\ _M\r\d\.&quot;€&quot;_-;\-* #,##0\ _M\r\d\.&quot;€&quot;_-;_-* &quot;-&quot;\ _M\r\d\.\ &quot;€&quot;_-;_-@_-"/>
    <numFmt numFmtId="169" formatCode="0.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AE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165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0" fontId="4" fillId="0" borderId="0" xfId="0" applyFont="1"/>
    <xf numFmtId="166" fontId="4" fillId="0" borderId="1" xfId="1" applyNumberFormat="1" applyFont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166" fontId="4" fillId="4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9" fillId="0" borderId="0" xfId="0" applyFont="1"/>
    <xf numFmtId="167" fontId="2" fillId="0" borderId="0" xfId="0" applyNumberFormat="1" applyFont="1"/>
    <xf numFmtId="165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top" wrapText="1"/>
    </xf>
    <xf numFmtId="3" fontId="0" fillId="0" borderId="0" xfId="0" applyNumberFormat="1"/>
    <xf numFmtId="0" fontId="11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2" fillId="5" borderId="0" xfId="0" applyFont="1" applyFill="1"/>
    <xf numFmtId="0" fontId="0" fillId="5" borderId="0" xfId="0" applyFill="1" applyBorder="1"/>
    <xf numFmtId="0" fontId="6" fillId="5" borderId="0" xfId="0" applyFont="1" applyFill="1" applyBorder="1"/>
    <xf numFmtId="0" fontId="7" fillId="5" borderId="0" xfId="0" applyFont="1" applyFill="1" applyBorder="1" applyAlignment="1">
      <alignment horizontal="right"/>
    </xf>
    <xf numFmtId="169" fontId="0" fillId="5" borderId="0" xfId="0" applyNumberFormat="1" applyFill="1" applyBorder="1" applyAlignment="1">
      <alignment horizontal="right"/>
    </xf>
    <xf numFmtId="168" fontId="7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right"/>
    </xf>
    <xf numFmtId="1" fontId="0" fillId="5" borderId="0" xfId="0" applyNumberFormat="1" applyFill="1" applyBorder="1" applyAlignment="1">
      <alignment horizontal="right"/>
    </xf>
    <xf numFmtId="1" fontId="0" fillId="5" borderId="0" xfId="0" applyNumberForma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CFA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99262150869172E-2"/>
          <c:y val="8.297747085559834E-2"/>
          <c:w val="0.88826781280749312"/>
          <c:h val="0.80781786912585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'Diagramm BWS'!$A$43</c:f>
              <c:strCache>
                <c:ptCount val="1"/>
                <c:pt idx="0">
                  <c:v>Bruttowertschöpfung insgesamt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'Diagramm BWS'!$B$42:$AB$42</c:f>
              <c:numCache>
                <c:formatCode>General</c:formatCode>
                <c:ptCount val="2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'Diagramm BWS'!$B$43:$AB$43</c:f>
              <c:numCache>
                <c:formatCode>_-* #,##0.0\ _€_-;\-* #,##0.0\ _€_-;_-* "-"??\ _€_-;_-@_-</c:formatCode>
                <c:ptCount val="27"/>
                <c:pt idx="0">
                  <c:v>6201.459227028934</c:v>
                </c:pt>
                <c:pt idx="1">
                  <c:v>22017.762279952756</c:v>
                </c:pt>
                <c:pt idx="2">
                  <c:v>50269.706467331009</c:v>
                </c:pt>
                <c:pt idx="3">
                  <c:v>110981.01573245118</c:v>
                </c:pt>
                <c:pt idx="4">
                  <c:v>192804.07806404441</c:v>
                </c:pt>
                <c:pt idx="5">
                  <c:v>278472</c:v>
                </c:pt>
                <c:pt idx="6">
                  <c:v>291854</c:v>
                </c:pt>
                <c:pt idx="7">
                  <c:v>294265</c:v>
                </c:pt>
                <c:pt idx="8">
                  <c:v>297157</c:v>
                </c:pt>
                <c:pt idx="9">
                  <c:v>301923</c:v>
                </c:pt>
                <c:pt idx="10">
                  <c:v>303704</c:v>
                </c:pt>
                <c:pt idx="11">
                  <c:v>323111</c:v>
                </c:pt>
                <c:pt idx="12">
                  <c:v>339053</c:v>
                </c:pt>
                <c:pt idx="13">
                  <c:v>343369</c:v>
                </c:pt>
                <c:pt idx="14">
                  <c:v>316914</c:v>
                </c:pt>
                <c:pt idx="15">
                  <c:v>344268</c:v>
                </c:pt>
                <c:pt idx="16">
                  <c:v>364128</c:v>
                </c:pt>
                <c:pt idx="17">
                  <c:v>372395</c:v>
                </c:pt>
                <c:pt idx="18">
                  <c:v>382477</c:v>
                </c:pt>
                <c:pt idx="19">
                  <c:v>398521</c:v>
                </c:pt>
                <c:pt idx="20">
                  <c:v>416775</c:v>
                </c:pt>
                <c:pt idx="21">
                  <c:v>427603</c:v>
                </c:pt>
                <c:pt idx="22">
                  <c:v>448121</c:v>
                </c:pt>
                <c:pt idx="23">
                  <c:v>465840</c:v>
                </c:pt>
                <c:pt idx="24">
                  <c:v>474504</c:v>
                </c:pt>
                <c:pt idx="25">
                  <c:v>457789</c:v>
                </c:pt>
                <c:pt idx="26">
                  <c:v>484747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4-4E57-83F7-C8443B1CED23}"/>
            </c:ext>
          </c:extLst>
        </c:ser>
        <c:ser>
          <c:idx val="2"/>
          <c:order val="1"/>
          <c:tx>
            <c:strRef>
              <c:f>'Diagramm BWS'!$A$44</c:f>
              <c:strCache>
                <c:ptCount val="1"/>
                <c:pt idx="0">
                  <c:v>BWS Land- und Forstwirtschaft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'Diagramm BWS'!$B$42:$AB$42</c:f>
              <c:numCache>
                <c:formatCode>General</c:formatCode>
                <c:ptCount val="2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'Diagramm BWS'!$B$44:$AB$44</c:f>
              <c:numCache>
                <c:formatCode>_-* #,##0.0\ _€_-;\-* #,##0.0\ _€_-;_-* "-"??\ _€_-;_-@_-</c:formatCode>
                <c:ptCount val="27"/>
                <c:pt idx="0">
                  <c:v>710.18442298154753</c:v>
                </c:pt>
                <c:pt idx="1">
                  <c:v>1270.5603247726031</c:v>
                </c:pt>
                <c:pt idx="2">
                  <c:v>1580.4032047775113</c:v>
                </c:pt>
                <c:pt idx="3">
                  <c:v>2269.6246606300138</c:v>
                </c:pt>
                <c:pt idx="4">
                  <c:v>3292.2084230224509</c:v>
                </c:pt>
                <c:pt idx="5">
                  <c:v>2740</c:v>
                </c:pt>
                <c:pt idx="6">
                  <c:v>2467</c:v>
                </c:pt>
                <c:pt idx="7">
                  <c:v>2180</c:v>
                </c:pt>
                <c:pt idx="8">
                  <c:v>2000</c:v>
                </c:pt>
                <c:pt idx="9">
                  <c:v>2213</c:v>
                </c:pt>
                <c:pt idx="10">
                  <c:v>1883</c:v>
                </c:pt>
                <c:pt idx="11">
                  <c:v>1931</c:v>
                </c:pt>
                <c:pt idx="12">
                  <c:v>1992</c:v>
                </c:pt>
                <c:pt idx="13">
                  <c:v>2071</c:v>
                </c:pt>
                <c:pt idx="14">
                  <c:v>1723</c:v>
                </c:pt>
                <c:pt idx="15">
                  <c:v>1964</c:v>
                </c:pt>
                <c:pt idx="16">
                  <c:v>2285</c:v>
                </c:pt>
                <c:pt idx="17">
                  <c:v>2212</c:v>
                </c:pt>
                <c:pt idx="18">
                  <c:v>2420</c:v>
                </c:pt>
                <c:pt idx="19">
                  <c:v>2435</c:v>
                </c:pt>
                <c:pt idx="20">
                  <c:v>2003</c:v>
                </c:pt>
                <c:pt idx="21">
                  <c:v>2061</c:v>
                </c:pt>
                <c:pt idx="22">
                  <c:v>2471</c:v>
                </c:pt>
                <c:pt idx="23">
                  <c:v>2331</c:v>
                </c:pt>
                <c:pt idx="24">
                  <c:v>2407</c:v>
                </c:pt>
                <c:pt idx="25">
                  <c:v>2304</c:v>
                </c:pt>
                <c:pt idx="26">
                  <c:v>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C4-4E57-83F7-C8443B1CE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4070016"/>
        <c:axId val="157437952"/>
      </c:barChart>
      <c:catAx>
        <c:axId val="15407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437952"/>
        <c:crosses val="autoZero"/>
        <c:auto val="1"/>
        <c:lblAlgn val="ctr"/>
        <c:lblOffset val="100"/>
        <c:noMultiLvlLbl val="0"/>
      </c:catAx>
      <c:valAx>
        <c:axId val="1574379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in 1.000 EUR</a:t>
                </a:r>
              </a:p>
            </c:rich>
          </c:tx>
          <c:layout>
            <c:manualLayout>
              <c:xMode val="edge"/>
              <c:yMode val="edge"/>
              <c:x val="0"/>
              <c:y val="1.3065568638782536E-3"/>
            </c:manualLayout>
          </c:layout>
          <c:overlay val="0"/>
        </c:title>
        <c:numFmt formatCode="_-* #,##0.0\ _€_-;\-* #,##0.0\ _€_-;_-* &quot;-&quot;??\ _€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070016"/>
        <c:crosses val="autoZero"/>
        <c:crossBetween val="between"/>
      </c:valAx>
      <c:spPr>
        <a:solidFill>
          <a:schemeClr val="bg1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12171594617671773"/>
          <c:y val="0.11906782906618633"/>
          <c:w val="0.37485741741091538"/>
          <c:h val="9.0535172714162587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CFAE7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51758</xdr:colOff>
      <xdr:row>30</xdr:row>
      <xdr:rowOff>69011</xdr:rowOff>
    </xdr:from>
    <xdr:ext cx="543465" cy="258792"/>
    <xdr:pic>
      <xdr:nvPicPr>
        <xdr:cNvPr id="2" name="Picture 7" descr="P:\90_EigeneVorlagen\LOGO-LEL_transparent.tif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8" y="5279366"/>
          <a:ext cx="543465" cy="258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155275</xdr:colOff>
      <xdr:row>3</xdr:row>
      <xdr:rowOff>51758</xdr:rowOff>
    </xdr:from>
    <xdr:to>
      <xdr:col>10</xdr:col>
      <xdr:colOff>914400</xdr:colOff>
      <xdr:row>28</xdr:row>
      <xdr:rowOff>155275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2"/>
  <sheetViews>
    <sheetView tabSelected="1" zoomScale="85" zoomScaleNormal="85" zoomScaleSheetLayoutView="115" workbookViewId="0">
      <selection activeCell="P22" sqref="P22"/>
    </sheetView>
  </sheetViews>
  <sheetFormatPr baseColWidth="10" defaultColWidth="11" defaultRowHeight="12.75" x14ac:dyDescent="0.2"/>
  <cols>
    <col min="1" max="1" width="9.5" style="1" customWidth="1"/>
    <col min="2" max="4" width="8.625" style="1" customWidth="1"/>
    <col min="5" max="28" width="9.125" style="1" customWidth="1"/>
    <col min="29" max="30" width="8.625" style="1" customWidth="1"/>
    <col min="31" max="59" width="10" style="1" bestFit="1" customWidth="1"/>
    <col min="60" max="63" width="9" style="1" bestFit="1" customWidth="1"/>
    <col min="64" max="64" width="8.875" style="1" bestFit="1" customWidth="1"/>
    <col min="65" max="65" width="9" style="1" bestFit="1" customWidth="1"/>
    <col min="66" max="16384" width="11" style="1"/>
  </cols>
  <sheetData>
    <row r="1" spans="1:17" ht="23.25" x14ac:dyDescent="0.35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7" ht="20.25" x14ac:dyDescent="0.3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M2" s="12" t="s">
        <v>11</v>
      </c>
    </row>
    <row r="3" spans="1:17" ht="18" customHeight="1" x14ac:dyDescent="0.25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M3" s="15" t="s">
        <v>10</v>
      </c>
      <c r="N3" s="15"/>
      <c r="O3" s="15"/>
      <c r="P3" s="15"/>
      <c r="Q3" s="15"/>
    </row>
    <row r="4" spans="1:17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M4" s="15"/>
      <c r="N4" s="15"/>
      <c r="O4" s="15"/>
      <c r="P4" s="15"/>
      <c r="Q4" s="15"/>
    </row>
    <row r="5" spans="1:17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M5" s="15"/>
      <c r="N5" s="15"/>
      <c r="O5" s="15"/>
      <c r="P5" s="15"/>
      <c r="Q5" s="15"/>
    </row>
    <row r="6" spans="1:17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M6" s="15"/>
      <c r="N6" s="15"/>
      <c r="O6" s="15"/>
      <c r="P6" s="15"/>
      <c r="Q6" s="15"/>
    </row>
    <row r="7" spans="1:17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M7" s="11"/>
      <c r="N7" s="11"/>
      <c r="O7" s="11"/>
      <c r="P7" s="11"/>
      <c r="Q7" s="11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M8" s="15" t="s">
        <v>9</v>
      </c>
      <c r="N8" s="15"/>
      <c r="O8" s="15"/>
      <c r="P8" s="15"/>
      <c r="Q8" s="15"/>
    </row>
    <row r="9" spans="1:17" ht="12.75" customHeight="1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M9" s="15"/>
      <c r="N9" s="15"/>
      <c r="O9" s="15"/>
      <c r="P9" s="15"/>
      <c r="Q9" s="15"/>
    </row>
    <row r="10" spans="1:17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M10" s="11"/>
      <c r="N10" s="11"/>
      <c r="O10" s="11"/>
      <c r="P10" s="11"/>
      <c r="Q10" s="11"/>
    </row>
    <row r="11" spans="1:17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7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7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7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7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7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68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68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68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68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68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68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68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68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68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68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68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68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68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68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68" ht="15" x14ac:dyDescent="0.2">
      <c r="A31" s="21"/>
      <c r="B31" s="22" t="s">
        <v>8</v>
      </c>
      <c r="C31" s="21"/>
      <c r="D31" s="21"/>
      <c r="E31" s="21"/>
      <c r="F31" s="21"/>
      <c r="G31" s="21"/>
      <c r="H31" s="21"/>
      <c r="I31" s="23" t="s">
        <v>14</v>
      </c>
      <c r="J31" s="24">
        <f>B52</f>
        <v>644</v>
      </c>
      <c r="K31" s="25" t="s">
        <v>15</v>
      </c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</row>
    <row r="32" spans="1:68" ht="14.25" x14ac:dyDescent="0.2">
      <c r="A32" s="21"/>
      <c r="B32" s="22" t="s">
        <v>17</v>
      </c>
      <c r="C32" s="21"/>
      <c r="D32" s="21"/>
      <c r="E32" s="21"/>
      <c r="F32" s="21"/>
      <c r="G32" s="21"/>
      <c r="H32" s="22"/>
      <c r="I32" s="26" t="s">
        <v>20</v>
      </c>
      <c r="J32" s="27">
        <f>(AB44/Q44)*100</f>
        <v>132.79022403258656</v>
      </c>
      <c r="K32" s="28"/>
    </row>
    <row r="34" spans="1:52" x14ac:dyDescent="0.2">
      <c r="A34" s="4" t="s">
        <v>7</v>
      </c>
      <c r="B34" s="4" t="s">
        <v>19</v>
      </c>
    </row>
    <row r="35" spans="1:52" x14ac:dyDescent="0.2">
      <c r="B35" s="4" t="s">
        <v>16</v>
      </c>
    </row>
    <row r="37" spans="1:52" s="4" customFormat="1" ht="11.25" x14ac:dyDescent="0.2">
      <c r="A37" s="7" t="s">
        <v>6</v>
      </c>
      <c r="B37" s="9">
        <v>1950</v>
      </c>
      <c r="C37" s="9">
        <v>1951</v>
      </c>
      <c r="D37" s="9">
        <v>1952</v>
      </c>
      <c r="E37" s="9">
        <v>1953</v>
      </c>
      <c r="F37" s="9">
        <v>1954</v>
      </c>
      <c r="G37" s="9">
        <v>1955</v>
      </c>
      <c r="H37" s="9">
        <v>1956</v>
      </c>
      <c r="I37" s="9">
        <v>1957</v>
      </c>
      <c r="J37" s="9">
        <v>1958</v>
      </c>
      <c r="K37" s="9">
        <v>1959</v>
      </c>
      <c r="L37" s="9">
        <v>1960</v>
      </c>
      <c r="M37" s="9">
        <v>1961</v>
      </c>
      <c r="N37" s="9">
        <v>1962</v>
      </c>
      <c r="O37" s="9">
        <v>1963</v>
      </c>
      <c r="P37" s="9">
        <v>1964</v>
      </c>
      <c r="Q37" s="9">
        <v>1965</v>
      </c>
      <c r="R37" s="9">
        <v>1966</v>
      </c>
      <c r="S37" s="9">
        <v>1967</v>
      </c>
      <c r="T37" s="9">
        <v>1968</v>
      </c>
      <c r="U37" s="9">
        <v>1969</v>
      </c>
      <c r="V37" s="9">
        <v>1970</v>
      </c>
      <c r="W37" s="9">
        <v>1971</v>
      </c>
      <c r="X37" s="9">
        <v>1972</v>
      </c>
      <c r="Y37" s="9">
        <v>1973</v>
      </c>
      <c r="Z37" s="9">
        <v>1974</v>
      </c>
      <c r="AA37" s="9">
        <v>1975</v>
      </c>
      <c r="AB37" s="9">
        <v>1976</v>
      </c>
      <c r="AC37" s="9">
        <v>1977</v>
      </c>
      <c r="AD37" s="9">
        <v>1978</v>
      </c>
      <c r="AE37" s="9">
        <v>1979</v>
      </c>
      <c r="AF37" s="9">
        <v>1980</v>
      </c>
      <c r="AG37" s="9">
        <v>1981</v>
      </c>
      <c r="AH37" s="9">
        <v>1982</v>
      </c>
      <c r="AI37" s="9">
        <v>1983</v>
      </c>
      <c r="AJ37" s="9">
        <v>1984</v>
      </c>
      <c r="AK37" s="9">
        <v>1985</v>
      </c>
      <c r="AL37" s="10">
        <v>1986</v>
      </c>
      <c r="AM37" s="9">
        <v>1987</v>
      </c>
      <c r="AN37" s="9">
        <v>1988</v>
      </c>
      <c r="AO37" s="9">
        <v>1989</v>
      </c>
      <c r="AP37" s="9">
        <v>1990</v>
      </c>
      <c r="AQ37" s="9">
        <v>1991</v>
      </c>
      <c r="AR37" s="9">
        <v>1992</v>
      </c>
      <c r="AS37" s="9">
        <v>1993</v>
      </c>
      <c r="AT37" s="9">
        <v>1994</v>
      </c>
      <c r="AU37" s="9">
        <v>1995</v>
      </c>
      <c r="AV37" s="9">
        <v>1996</v>
      </c>
      <c r="AW37" s="9">
        <v>1997</v>
      </c>
      <c r="AX37" s="9">
        <v>1998</v>
      </c>
      <c r="AY37" s="9">
        <v>1999</v>
      </c>
    </row>
    <row r="38" spans="1:52" s="4" customFormat="1" ht="11.25" x14ac:dyDescent="0.2">
      <c r="A38" s="7" t="s">
        <v>5</v>
      </c>
      <c r="B38" s="5">
        <f>12129/A51</f>
        <v>6201.459227028934</v>
      </c>
      <c r="C38" s="5">
        <f>15361/A51</f>
        <v>7853.9545870551119</v>
      </c>
      <c r="D38" s="5">
        <f>17500/A51</f>
        <v>8947.6079209338241</v>
      </c>
      <c r="E38" s="5">
        <f>18737/A51</f>
        <v>9580.0759779735454</v>
      </c>
      <c r="F38" s="5">
        <f>20593/A51</f>
        <v>10529.033709473728</v>
      </c>
      <c r="G38" s="5">
        <f>23804/A51</f>
        <v>12170.791939994786</v>
      </c>
      <c r="H38" s="5">
        <f>26307/A51</f>
        <v>13450.55551862892</v>
      </c>
      <c r="I38" s="5">
        <f>28949/A51</f>
        <v>14801.388668749329</v>
      </c>
      <c r="J38" s="5">
        <f>31554/A51</f>
        <v>16133.304019265479</v>
      </c>
      <c r="K38" s="5">
        <f>34662/A51</f>
        <v>17722.399186023325</v>
      </c>
      <c r="L38" s="5">
        <f>43063/A51</f>
        <v>22017.762279952756</v>
      </c>
      <c r="M38" s="5">
        <f>48527/A51</f>
        <v>24811.461118808897</v>
      </c>
      <c r="N38" s="5">
        <f>53181/A51</f>
        <v>27191.013533896097</v>
      </c>
      <c r="O38" s="5">
        <f>56533/A51</f>
        <v>28904.863919665819</v>
      </c>
      <c r="P38" s="5">
        <f>62981/A51</f>
        <v>32201.673969619038</v>
      </c>
      <c r="Q38" s="5">
        <f>69967/A51</f>
        <v>35773.559051655822</v>
      </c>
      <c r="R38" s="5">
        <f>74831/A51</f>
        <v>38260.482761794228</v>
      </c>
      <c r="S38" s="5">
        <f>76278/A51</f>
        <v>39000.322113885151</v>
      </c>
      <c r="T38" s="5">
        <f>81452/A51</f>
        <v>41645.746307194386</v>
      </c>
      <c r="U38" s="5">
        <f>93836/A51</f>
        <v>47977.584963928362</v>
      </c>
      <c r="V38" s="5">
        <f>98319/A51</f>
        <v>50269.706467331009</v>
      </c>
      <c r="W38" s="5">
        <f>109119/A51</f>
        <v>55791.658784250169</v>
      </c>
      <c r="X38" s="5">
        <f>121740/A51</f>
        <v>62244.67361682764</v>
      </c>
      <c r="Y38" s="5">
        <f>136598/A51</f>
        <v>69841.448387641052</v>
      </c>
      <c r="Z38" s="5">
        <f>145182/A51</f>
        <v>74230.377895829399</v>
      </c>
      <c r="AA38" s="5">
        <f>150821/A51</f>
        <v>77113.552813894872</v>
      </c>
      <c r="AB38" s="5">
        <f>165213/A51</f>
        <v>84472.065568070844</v>
      </c>
      <c r="AC38" s="5">
        <f>177471/A51</f>
        <v>90739.481447774087</v>
      </c>
      <c r="AD38" s="5">
        <f>189466/A51</f>
        <v>96872.427562722733</v>
      </c>
      <c r="AE38" s="5">
        <f>204615/A51</f>
        <v>104617.98827096424</v>
      </c>
      <c r="AF38" s="5">
        <f>217060/A51</f>
        <v>110981.01573245118</v>
      </c>
      <c r="AG38" s="5">
        <f>227742/A51</f>
        <v>116442.63560738919</v>
      </c>
      <c r="AH38" s="5">
        <f>235766/A51</f>
        <v>120545.24166210766</v>
      </c>
      <c r="AI38" s="5">
        <f>248140/A51</f>
        <v>126871.96740002965</v>
      </c>
      <c r="AJ38" s="5">
        <f>260361/A51</f>
        <v>133120.46548012865</v>
      </c>
      <c r="AK38" s="5">
        <f>274558/A51</f>
        <v>140379.27631747135</v>
      </c>
      <c r="AL38" s="6">
        <f>294578/A51</f>
        <v>150615.33977901965</v>
      </c>
      <c r="AM38" s="5">
        <f>306118/A51</f>
        <v>156515.64808802403</v>
      </c>
      <c r="AN38" s="5">
        <f>323839/A51</f>
        <v>165576.25151470219</v>
      </c>
      <c r="AO38" s="5">
        <f>344211/A51</f>
        <v>175992.28971843157</v>
      </c>
      <c r="AP38" s="5">
        <f>377092/A51</f>
        <v>192804.07806404441</v>
      </c>
      <c r="AQ38" s="5">
        <v>219761</v>
      </c>
      <c r="AR38" s="5">
        <v>231654</v>
      </c>
      <c r="AS38" s="5">
        <v>229825</v>
      </c>
      <c r="AT38" s="5">
        <v>237213</v>
      </c>
      <c r="AU38" s="5">
        <v>246855</v>
      </c>
      <c r="AV38" s="5">
        <v>251570</v>
      </c>
      <c r="AW38" s="5">
        <v>256905</v>
      </c>
      <c r="AX38" s="5">
        <v>264425</v>
      </c>
      <c r="AY38" s="8">
        <v>271782</v>
      </c>
    </row>
    <row r="39" spans="1:52" s="4" customFormat="1" ht="11.25" x14ac:dyDescent="0.2">
      <c r="A39" s="7" t="s">
        <v>4</v>
      </c>
      <c r="B39" s="5">
        <f>1389/A51</f>
        <v>710.18442298154753</v>
      </c>
      <c r="C39" s="5">
        <f>1701/A51</f>
        <v>869.70748991476762</v>
      </c>
      <c r="D39" s="5">
        <f>1807/A51</f>
        <v>923.90442932156679</v>
      </c>
      <c r="E39" s="5">
        <f>1737/A51</f>
        <v>888.11399763783152</v>
      </c>
      <c r="F39" s="5">
        <f>1841/A51</f>
        <v>941.28835328223829</v>
      </c>
      <c r="G39" s="5">
        <f>2077/A51</f>
        <v>1061.9532372445458</v>
      </c>
      <c r="H39" s="5">
        <f>2003/A51</f>
        <v>1024.1176380360257</v>
      </c>
      <c r="I39" s="5">
        <f>2232/A51</f>
        <v>1141.2034788299597</v>
      </c>
      <c r="J39" s="5">
        <f>2458/A51</f>
        <v>1256.755443980305</v>
      </c>
      <c r="K39" s="5">
        <f>2356/A51</f>
        <v>1204.6036720982909</v>
      </c>
      <c r="L39" s="5">
        <f>2485/A51</f>
        <v>1270.5603247726031</v>
      </c>
      <c r="M39" s="5">
        <f>2345/A51</f>
        <v>1198.9794614051323</v>
      </c>
      <c r="N39" s="5">
        <f>2652/A51</f>
        <v>1355.9460689323714</v>
      </c>
      <c r="O39" s="5">
        <f>2799/A51</f>
        <v>1431.1059754682155</v>
      </c>
      <c r="P39" s="5">
        <f>2699/A51</f>
        <v>1379.9767873485937</v>
      </c>
      <c r="Q39" s="5">
        <f>2737/A51</f>
        <v>1399.4058788340501</v>
      </c>
      <c r="R39" s="5">
        <f>3030/A51</f>
        <v>1549.2144000245421</v>
      </c>
      <c r="S39" s="5">
        <f>2921/A51</f>
        <v>1493.4835849741542</v>
      </c>
      <c r="T39" s="5">
        <f>2969/A51</f>
        <v>1518.0255952715727</v>
      </c>
      <c r="U39" s="5">
        <f>3093/A51</f>
        <v>1581.4257885399038</v>
      </c>
      <c r="V39" s="5">
        <f>3091/A51</f>
        <v>1580.4032047775113</v>
      </c>
      <c r="W39" s="5">
        <f>3318/A51</f>
        <v>1696.466461809053</v>
      </c>
      <c r="X39" s="5">
        <f>3401/A51</f>
        <v>1738.9036879483392</v>
      </c>
      <c r="Y39" s="5">
        <f>4035/A51</f>
        <v>2063.0627406267417</v>
      </c>
      <c r="Z39" s="5">
        <f>3609/A51</f>
        <v>1845.2523992371525</v>
      </c>
      <c r="AA39" s="5">
        <f>4019/A51</f>
        <v>2054.8820705276021</v>
      </c>
      <c r="AB39" s="5">
        <f>4426/A51</f>
        <v>2262.9778661744631</v>
      </c>
      <c r="AC39" s="5">
        <f>4672/A51</f>
        <v>2388.7556689487328</v>
      </c>
      <c r="AD39" s="5">
        <f>4647/A51</f>
        <v>2375.9733719188275</v>
      </c>
      <c r="AE39" s="5">
        <f>4535/A51</f>
        <v>2318.7086812248508</v>
      </c>
      <c r="AF39" s="5">
        <f>4439/A51</f>
        <v>2269.6246606300138</v>
      </c>
      <c r="AG39" s="5">
        <f>4629/A51</f>
        <v>2366.7701180572953</v>
      </c>
      <c r="AH39" s="5">
        <f>5703/A51</f>
        <v>2915.8975984620342</v>
      </c>
      <c r="AI39" s="5">
        <f>5234/A51</f>
        <v>2676.1017061810076</v>
      </c>
      <c r="AJ39" s="5">
        <f>5286/A51</f>
        <v>2702.6888840032111</v>
      </c>
      <c r="AK39" s="5">
        <f>4501/A51</f>
        <v>2301.3247572641794</v>
      </c>
      <c r="AL39" s="6">
        <f>5213/A51</f>
        <v>2665.3645766758868</v>
      </c>
      <c r="AM39" s="5">
        <f>4857/A51</f>
        <v>2483.3446669700334</v>
      </c>
      <c r="AN39" s="5">
        <f>5608/A51</f>
        <v>2867.3248697483932</v>
      </c>
      <c r="AO39" s="5">
        <f>6184/A51</f>
        <v>3161.8289933174151</v>
      </c>
      <c r="AP39" s="5">
        <f>6439/A51</f>
        <v>3292.2084230224509</v>
      </c>
      <c r="AQ39" s="5">
        <v>2273</v>
      </c>
      <c r="AR39" s="5">
        <v>2500</v>
      </c>
      <c r="AS39" s="5">
        <v>2083</v>
      </c>
      <c r="AT39" s="5">
        <v>2251</v>
      </c>
      <c r="AU39" s="5">
        <v>2162</v>
      </c>
      <c r="AV39" s="5">
        <v>2447</v>
      </c>
      <c r="AW39" s="5">
        <v>2414</v>
      </c>
      <c r="AX39" s="5">
        <v>2440</v>
      </c>
      <c r="AY39" s="8">
        <v>2322</v>
      </c>
    </row>
    <row r="40" spans="1:52" s="4" customFormat="1" ht="11.25" x14ac:dyDescent="0.2">
      <c r="A40" s="7" t="s">
        <v>3</v>
      </c>
      <c r="B40" s="5">
        <f t="shared" ref="B40:AG40" si="0">IF(ISERROR(B39/B38%)=TRUE,0,B39/B38%)</f>
        <v>11.451892159287658</v>
      </c>
      <c r="C40" s="5">
        <f t="shared" si="0"/>
        <v>11.073497819152399</v>
      </c>
      <c r="D40" s="5">
        <f t="shared" si="0"/>
        <v>10.325714285714286</v>
      </c>
      <c r="E40" s="5">
        <f t="shared" si="0"/>
        <v>9.2704274963975024</v>
      </c>
      <c r="F40" s="5">
        <f t="shared" si="0"/>
        <v>8.9399310445296951</v>
      </c>
      <c r="G40" s="5">
        <f t="shared" si="0"/>
        <v>8.7254242984372361</v>
      </c>
      <c r="H40" s="5">
        <f t="shared" si="0"/>
        <v>7.6139430569810322</v>
      </c>
      <c r="I40" s="5">
        <f t="shared" si="0"/>
        <v>7.7101108846592297</v>
      </c>
      <c r="J40" s="5">
        <f t="shared" si="0"/>
        <v>7.7898206249603854</v>
      </c>
      <c r="K40" s="5">
        <f t="shared" si="0"/>
        <v>6.7970688361894878</v>
      </c>
      <c r="L40" s="5">
        <f t="shared" si="0"/>
        <v>5.7706151452523056</v>
      </c>
      <c r="M40" s="5">
        <f t="shared" si="0"/>
        <v>4.8323613658375741</v>
      </c>
      <c r="N40" s="5">
        <f t="shared" si="0"/>
        <v>4.9867433857956787</v>
      </c>
      <c r="O40" s="5">
        <f t="shared" si="0"/>
        <v>4.9510905135053864</v>
      </c>
      <c r="P40" s="5">
        <f t="shared" si="0"/>
        <v>4.2854194122036802</v>
      </c>
      <c r="Q40" s="5">
        <f t="shared" si="0"/>
        <v>3.9118441551016909</v>
      </c>
      <c r="R40" s="5">
        <f t="shared" si="0"/>
        <v>4.049124026138899</v>
      </c>
      <c r="S40" s="5">
        <f t="shared" si="0"/>
        <v>3.8294134612863471</v>
      </c>
      <c r="T40" s="5">
        <f t="shared" si="0"/>
        <v>3.6450915876835439</v>
      </c>
      <c r="U40" s="5">
        <f t="shared" si="0"/>
        <v>3.296176307600494</v>
      </c>
      <c r="V40" s="5">
        <f t="shared" si="0"/>
        <v>3.1438480863312277</v>
      </c>
      <c r="W40" s="5">
        <f t="shared" si="0"/>
        <v>3.0407170153685423</v>
      </c>
      <c r="X40" s="5">
        <f t="shared" si="0"/>
        <v>2.7936586167241666</v>
      </c>
      <c r="Y40" s="5">
        <f t="shared" si="0"/>
        <v>2.9539231906762913</v>
      </c>
      <c r="Z40" s="5">
        <f t="shared" si="0"/>
        <v>2.4858453527296773</v>
      </c>
      <c r="AA40" s="5">
        <f t="shared" si="0"/>
        <v>2.664748277759728</v>
      </c>
      <c r="AB40" s="5">
        <f t="shared" si="0"/>
        <v>2.6789659409368514</v>
      </c>
      <c r="AC40" s="5">
        <f t="shared" si="0"/>
        <v>2.6325427816375635</v>
      </c>
      <c r="AD40" s="5">
        <f t="shared" si="0"/>
        <v>2.4526828032470207</v>
      </c>
      <c r="AE40" s="5">
        <f t="shared" si="0"/>
        <v>2.216357549544266</v>
      </c>
      <c r="AF40" s="5">
        <f t="shared" si="0"/>
        <v>2.0450566663595318</v>
      </c>
      <c r="AG40" s="5">
        <f t="shared" si="0"/>
        <v>2.0325631635798405</v>
      </c>
      <c r="AH40" s="5">
        <f t="shared" ref="AH40:AY40" si="1">IF(ISERROR(AH39/AH38%)=TRUE,0,AH39/AH38%)</f>
        <v>2.41892384822239</v>
      </c>
      <c r="AI40" s="5">
        <f t="shared" si="1"/>
        <v>2.1092931409688083</v>
      </c>
      <c r="AJ40" s="5">
        <f t="shared" si="1"/>
        <v>2.0302579879475036</v>
      </c>
      <c r="AK40" s="5">
        <f t="shared" si="1"/>
        <v>1.6393621748410174</v>
      </c>
      <c r="AL40" s="6">
        <f t="shared" si="1"/>
        <v>1.7696501435952445</v>
      </c>
      <c r="AM40" s="5">
        <f t="shared" si="1"/>
        <v>1.5866430592124605</v>
      </c>
      <c r="AN40" s="5">
        <f t="shared" si="1"/>
        <v>1.7317247150590263</v>
      </c>
      <c r="AO40" s="5">
        <f t="shared" si="1"/>
        <v>1.7965724511999908</v>
      </c>
      <c r="AP40" s="5">
        <f t="shared" si="1"/>
        <v>1.7075408653591166</v>
      </c>
      <c r="AQ40" s="5">
        <f t="shared" si="1"/>
        <v>1.0343054500116033</v>
      </c>
      <c r="AR40" s="5">
        <f t="shared" si="1"/>
        <v>1.0791956970309169</v>
      </c>
      <c r="AS40" s="5">
        <f t="shared" si="1"/>
        <v>0.90634178179049274</v>
      </c>
      <c r="AT40" s="5">
        <f t="shared" si="1"/>
        <v>0.94893618815157676</v>
      </c>
      <c r="AU40" s="5">
        <f t="shared" si="1"/>
        <v>0.8758177877701484</v>
      </c>
      <c r="AV40" s="5">
        <f t="shared" si="1"/>
        <v>0.97269149739635097</v>
      </c>
      <c r="AW40" s="5">
        <f t="shared" si="1"/>
        <v>0.93964695120764474</v>
      </c>
      <c r="AX40" s="5">
        <f t="shared" si="1"/>
        <v>0.92275692540417886</v>
      </c>
      <c r="AY40" s="5">
        <f t="shared" si="1"/>
        <v>0.85436121597456782</v>
      </c>
    </row>
    <row r="42" spans="1:52" x14ac:dyDescent="0.2">
      <c r="A42" s="7" t="s">
        <v>6</v>
      </c>
      <c r="B42" s="9">
        <v>1950</v>
      </c>
      <c r="C42" s="9">
        <v>1960</v>
      </c>
      <c r="D42" s="9">
        <v>1970</v>
      </c>
      <c r="E42" s="9">
        <v>1980</v>
      </c>
      <c r="F42" s="9">
        <v>1990</v>
      </c>
      <c r="G42" s="9">
        <v>2000</v>
      </c>
      <c r="H42" s="9">
        <v>2001</v>
      </c>
      <c r="I42" s="9">
        <v>2002</v>
      </c>
      <c r="J42" s="9">
        <v>2003</v>
      </c>
      <c r="K42" s="9">
        <v>2004</v>
      </c>
      <c r="L42" s="9">
        <v>2005</v>
      </c>
      <c r="M42" s="9">
        <v>2006</v>
      </c>
      <c r="N42" s="9">
        <v>2007</v>
      </c>
      <c r="O42" s="9">
        <v>2008</v>
      </c>
      <c r="P42" s="9">
        <v>2009</v>
      </c>
      <c r="Q42" s="9">
        <v>2010</v>
      </c>
      <c r="R42" s="9">
        <v>2011</v>
      </c>
      <c r="S42" s="9">
        <v>2012</v>
      </c>
      <c r="T42" s="9">
        <v>2013</v>
      </c>
      <c r="U42" s="9">
        <v>2014</v>
      </c>
      <c r="V42" s="9">
        <v>2015</v>
      </c>
      <c r="W42" s="9">
        <v>2016</v>
      </c>
      <c r="X42" s="9">
        <v>2017</v>
      </c>
      <c r="Y42" s="9">
        <v>2018</v>
      </c>
      <c r="Z42" s="9">
        <v>2019</v>
      </c>
      <c r="AA42" s="9">
        <v>2020</v>
      </c>
      <c r="AB42" s="9">
        <v>2021</v>
      </c>
    </row>
    <row r="43" spans="1:52" x14ac:dyDescent="0.2">
      <c r="A43" s="7" t="s">
        <v>5</v>
      </c>
      <c r="B43" s="5">
        <f>B38</f>
        <v>6201.459227028934</v>
      </c>
      <c r="C43" s="5">
        <f>L38</f>
        <v>22017.762279952756</v>
      </c>
      <c r="D43" s="5">
        <f>V38</f>
        <v>50269.706467331009</v>
      </c>
      <c r="E43" s="5">
        <f>AF38</f>
        <v>110981.01573245118</v>
      </c>
      <c r="F43" s="5">
        <f>AP38</f>
        <v>192804.07806404441</v>
      </c>
      <c r="G43" s="8">
        <v>278472</v>
      </c>
      <c r="H43" s="8">
        <v>291854</v>
      </c>
      <c r="I43" s="8">
        <v>294265</v>
      </c>
      <c r="J43" s="8">
        <v>297157</v>
      </c>
      <c r="K43" s="8">
        <v>301923</v>
      </c>
      <c r="L43" s="8">
        <v>303704</v>
      </c>
      <c r="M43" s="8">
        <v>323111</v>
      </c>
      <c r="N43" s="8">
        <v>339053</v>
      </c>
      <c r="O43" s="8">
        <v>343369</v>
      </c>
      <c r="P43" s="8">
        <v>316914</v>
      </c>
      <c r="Q43" s="8">
        <v>344268</v>
      </c>
      <c r="R43" s="8">
        <v>364128</v>
      </c>
      <c r="S43" s="5">
        <v>372395</v>
      </c>
      <c r="T43" s="5">
        <v>382477</v>
      </c>
      <c r="U43" s="5">
        <v>398521</v>
      </c>
      <c r="V43" s="5">
        <v>416775</v>
      </c>
      <c r="W43" s="5">
        <v>427603</v>
      </c>
      <c r="X43" s="5">
        <v>448121</v>
      </c>
      <c r="Y43" s="5">
        <v>465840</v>
      </c>
      <c r="Z43" s="5">
        <v>474504</v>
      </c>
      <c r="AA43" s="5">
        <v>457789</v>
      </c>
      <c r="AB43" s="5">
        <v>484747</v>
      </c>
    </row>
    <row r="44" spans="1:52" x14ac:dyDescent="0.2">
      <c r="A44" s="7" t="s">
        <v>4</v>
      </c>
      <c r="B44" s="5">
        <f t="shared" ref="B44:B45" si="2">B39</f>
        <v>710.18442298154753</v>
      </c>
      <c r="C44" s="5">
        <f t="shared" ref="C44:C45" si="3">L39</f>
        <v>1270.5603247726031</v>
      </c>
      <c r="D44" s="5">
        <f t="shared" ref="D44:D45" si="4">V39</f>
        <v>1580.4032047775113</v>
      </c>
      <c r="E44" s="5">
        <f t="shared" ref="E44:E45" si="5">AF39</f>
        <v>2269.6246606300138</v>
      </c>
      <c r="F44" s="5">
        <f t="shared" ref="F44:F45" si="6">AP39</f>
        <v>3292.2084230224509</v>
      </c>
      <c r="G44" s="8">
        <v>2740</v>
      </c>
      <c r="H44" s="8">
        <v>2467</v>
      </c>
      <c r="I44" s="8">
        <v>2180</v>
      </c>
      <c r="J44" s="8">
        <v>2000</v>
      </c>
      <c r="K44" s="8">
        <v>2213</v>
      </c>
      <c r="L44" s="8">
        <v>1883</v>
      </c>
      <c r="M44" s="8">
        <v>1931</v>
      </c>
      <c r="N44" s="8">
        <v>1992</v>
      </c>
      <c r="O44" s="8">
        <v>2071</v>
      </c>
      <c r="P44" s="8">
        <v>1723</v>
      </c>
      <c r="Q44" s="8">
        <v>1964</v>
      </c>
      <c r="R44" s="8">
        <v>2285</v>
      </c>
      <c r="S44" s="5">
        <v>2212</v>
      </c>
      <c r="T44" s="5">
        <v>2420</v>
      </c>
      <c r="U44" s="5">
        <v>2435</v>
      </c>
      <c r="V44" s="5">
        <v>2003</v>
      </c>
      <c r="W44" s="5">
        <v>2061</v>
      </c>
      <c r="X44" s="5">
        <v>2471</v>
      </c>
      <c r="Y44" s="5">
        <v>2331</v>
      </c>
      <c r="Z44" s="5">
        <v>2407</v>
      </c>
      <c r="AA44" s="5">
        <v>2304</v>
      </c>
      <c r="AB44" s="5">
        <v>2608</v>
      </c>
    </row>
    <row r="45" spans="1:52" x14ac:dyDescent="0.2">
      <c r="A45" s="7" t="s">
        <v>3</v>
      </c>
      <c r="B45" s="5">
        <f t="shared" si="2"/>
        <v>11.451892159287658</v>
      </c>
      <c r="C45" s="5">
        <f t="shared" si="3"/>
        <v>5.7706151452523056</v>
      </c>
      <c r="D45" s="5">
        <f t="shared" si="4"/>
        <v>3.1438480863312277</v>
      </c>
      <c r="E45" s="5">
        <f t="shared" si="5"/>
        <v>2.0450566663595318</v>
      </c>
      <c r="F45" s="5">
        <f t="shared" si="6"/>
        <v>1.7075408653591166</v>
      </c>
      <c r="G45" s="5">
        <f t="shared" ref="G45:Y45" si="7">IF(ISERROR(G44/G43%)=TRUE,0,G44/G43%)</f>
        <v>0.98394093481570866</v>
      </c>
      <c r="H45" s="5">
        <f t="shared" si="7"/>
        <v>0.84528565652689358</v>
      </c>
      <c r="I45" s="5">
        <f t="shared" si="7"/>
        <v>0.74082884474878086</v>
      </c>
      <c r="J45" s="5">
        <f t="shared" si="7"/>
        <v>0.67304488872885371</v>
      </c>
      <c r="K45" s="5">
        <f t="shared" si="7"/>
        <v>0.73296833960976804</v>
      </c>
      <c r="L45" s="5">
        <f t="shared" si="7"/>
        <v>0.62001159023259489</v>
      </c>
      <c r="M45" s="5">
        <f t="shared" si="7"/>
        <v>0.59762744072470453</v>
      </c>
      <c r="N45" s="5">
        <f t="shared" si="7"/>
        <v>0.58751876550273852</v>
      </c>
      <c r="O45" s="5">
        <f t="shared" si="7"/>
        <v>0.60314122707641049</v>
      </c>
      <c r="P45" s="5">
        <f t="shared" si="7"/>
        <v>0.5436806199789217</v>
      </c>
      <c r="Q45" s="5">
        <f t="shared" si="7"/>
        <v>0.5704857843308121</v>
      </c>
      <c r="R45" s="5">
        <f t="shared" si="7"/>
        <v>0.62752658405835304</v>
      </c>
      <c r="S45" s="5">
        <f t="shared" si="7"/>
        <v>0.59399293760657368</v>
      </c>
      <c r="T45" s="5">
        <f t="shared" si="7"/>
        <v>0.63271778433735881</v>
      </c>
      <c r="U45" s="5">
        <f t="shared" si="7"/>
        <v>0.61100920654118607</v>
      </c>
      <c r="V45" s="5">
        <f t="shared" si="7"/>
        <v>0.48059504528822505</v>
      </c>
      <c r="W45" s="5">
        <f t="shared" si="7"/>
        <v>0.48198913478156141</v>
      </c>
      <c r="X45" s="5">
        <f t="shared" si="7"/>
        <v>0.55141356910298778</v>
      </c>
      <c r="Y45" s="5">
        <f t="shared" si="7"/>
        <v>0.50038639876352398</v>
      </c>
      <c r="Z45" s="5">
        <f t="shared" ref="Z45" si="8">IF(ISERROR(Z44/Z43%)=TRUE,0,Z44/Z43%)</f>
        <v>0.5072665351609259</v>
      </c>
      <c r="AA45" s="5">
        <f t="shared" ref="AA45" si="9">IF(ISERROR(AA44/AA43%)=TRUE,0,AA44/AA43%)</f>
        <v>0.50328863297283244</v>
      </c>
      <c r="AB45" s="5">
        <f t="shared" ref="AB45" si="10">IF(ISERROR(AB44/AB43%)=TRUE,0,AB44/AB43%)</f>
        <v>0.53801261276500933</v>
      </c>
    </row>
    <row r="48" spans="1:52" ht="14.25" x14ac:dyDescent="0.2">
      <c r="A48" s="1" t="s">
        <v>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Y48" s="4" t="s">
        <v>1</v>
      </c>
      <c r="AZ48" s="4" t="s">
        <v>0</v>
      </c>
    </row>
    <row r="49" spans="1:62" ht="14.25" x14ac:dyDescent="0.2"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62" ht="14.25" x14ac:dyDescent="0.2"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62" ht="14.25" x14ac:dyDescent="0.2">
      <c r="A51" s="1">
        <v>1.95583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1:62" x14ac:dyDescent="0.2">
      <c r="A52" s="1" t="s">
        <v>13</v>
      </c>
      <c r="B52" s="13">
        <f>AB44-Q44</f>
        <v>644</v>
      </c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</row>
  </sheetData>
  <sheetProtection algorithmName="SHA-512" hashValue="TQ/4apo062/Myq7SUkm632q1gorB2Ahi/WpSn2fQec/wURaJObiGsuxKW1BDpqt05077omdwT3CvEqAFd5ji1Q==" saltValue="t970Kqn5XeqkdLUqH1CYuA==" spinCount="100000" sheet="1" objects="1" scenarios="1"/>
  <mergeCells count="5">
    <mergeCell ref="M8:Q9"/>
    <mergeCell ref="A1:K1"/>
    <mergeCell ref="A2:K2"/>
    <mergeCell ref="A3:K3"/>
    <mergeCell ref="M3:Q6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Diagramm BWS</vt:lpstr>
      <vt:lpstr>'Diagramm BWS'!Druckbereich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Müller, Richard (LEL)</dc:creator>
  <cp:lastModifiedBy>Stock, Martina (LEL-SG)</cp:lastModifiedBy>
  <cp:lastPrinted>2019-05-17T07:29:25Z</cp:lastPrinted>
  <dcterms:created xsi:type="dcterms:W3CDTF">2015-06-23T12:25:43Z</dcterms:created>
  <dcterms:modified xsi:type="dcterms:W3CDTF">2022-08-10T09:05:01Z</dcterms:modified>
</cp:coreProperties>
</file>