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0875" windowHeight="7935" activeTab="0"/>
  </bookViews>
  <sheets>
    <sheet name="Titelblatt" sheetId="1" r:id="rId1"/>
    <sheet name="Grafik" sheetId="2" r:id="rId2"/>
    <sheet name="Anlagen" sheetId="3" r:id="rId3"/>
    <sheet name="kW_el" sheetId="4" r:id="rId4"/>
    <sheet name="kW je Anlage" sheetId="5" r:id="rId5"/>
    <sheet name="Mais" sheetId="6" state="hidden" r:id="rId6"/>
  </sheets>
  <externalReferences>
    <externalReference r:id="rId9"/>
  </externalReferences>
  <definedNames>
    <definedName name="Bild" localSheetId="0">bild614</definedName>
    <definedName name="Bild">IF('[1]Vergleich'!$G$3="",'[1]Gebietsliste'!$IU$2,INDEX('[1]Gebietsliste'!$D:$D,MATCH('[1]Vergleich'!$G$3,'[1]Gebietsliste'!$A:$A,0)))</definedName>
    <definedName name="Bild2">IF('[1]Vergleich'!$H$3="",'[1]Gebietsliste'!$IU$2,INDEX('[1]Gebietsliste'!$F:$F,MATCH('[1]Vergleich'!$H$3,'[1]Gebietsliste'!$A:$A,0)))</definedName>
    <definedName name="Bild3">IF('[1]Vergleich'!$I$3="",'[1]Gebietsliste'!$IU$2,INDEX('[1]Gebietsliste'!$H:$H,MATCH('[1]Vergleich'!$I$3,'[1]Gebietsliste'!$A:$A,0)))</definedName>
    <definedName name="Bild4">IF('[1]Vergleich'!$J$3="",'[1]Gebietsliste'!$IU$2,INDEX('[1]Gebietsliste'!$J:$J,MATCH('[1]Vergleich'!$J$3,'[1]Gebietsliste'!$A:$A,0)))</definedName>
    <definedName name="_xlnm.Print_Area" localSheetId="2">'Anlagen'!$B$1:$Q$46</definedName>
    <definedName name="_xlnm.Print_Area" localSheetId="1">'Grafik'!$B$2:$O$31</definedName>
    <definedName name="_xlnm.Print_Area" localSheetId="4">'kW je Anlage'!$B$1:$Q$46</definedName>
    <definedName name="_xlnm.Print_Area" localSheetId="3">'kW_el'!$B$1:$Q$46</definedName>
    <definedName name="_xlnm.Print_Area" localSheetId="0">'Titelblatt'!$A$1:$B$36</definedName>
  </definedNames>
  <calcPr fullCalcOnLoad="1"/>
</workbook>
</file>

<file path=xl/sharedStrings.xml><?xml version="1.0" encoding="utf-8"?>
<sst xmlns="http://schemas.openxmlformats.org/spreadsheetml/2006/main" count="192" uniqueCount="60">
  <si>
    <t>Schwarzwald Baar</t>
  </si>
  <si>
    <t>Emmendingen</t>
  </si>
  <si>
    <t>Breisgau-Hochschwarzwald</t>
  </si>
  <si>
    <t>Ortenaukreis</t>
  </si>
  <si>
    <t>Rottweil</t>
  </si>
  <si>
    <t>Konstanz</t>
  </si>
  <si>
    <t>Tuttlingen</t>
  </si>
  <si>
    <t>Waldshut</t>
  </si>
  <si>
    <t>Zollernalbkreis</t>
  </si>
  <si>
    <t>Biberach</t>
  </si>
  <si>
    <t>Bodenseekreis</t>
  </si>
  <si>
    <t>Reutlingen</t>
  </si>
  <si>
    <t>Ravensburg</t>
  </si>
  <si>
    <t>Tübingen</t>
  </si>
  <si>
    <t>Sigmaringen</t>
  </si>
  <si>
    <t>Alb-Donau</t>
  </si>
  <si>
    <t>Rems-Murr-Kreis</t>
  </si>
  <si>
    <t>Ostalbkreis</t>
  </si>
  <si>
    <t>Göppingen</t>
  </si>
  <si>
    <t>Heidenheim</t>
  </si>
  <si>
    <t>Heilbronn</t>
  </si>
  <si>
    <t>Böblingen</t>
  </si>
  <si>
    <t>Schwäbisch Hall</t>
  </si>
  <si>
    <t>Stuttgart</t>
  </si>
  <si>
    <t>Ludwigsburg</t>
  </si>
  <si>
    <t>Esslingen</t>
  </si>
  <si>
    <t>Hohenlohekreis</t>
  </si>
  <si>
    <t>Neckar-Odenwald</t>
  </si>
  <si>
    <t>Karlsruhe</t>
  </si>
  <si>
    <t>Freudenstadt</t>
  </si>
  <si>
    <t>Enzkreis</t>
  </si>
  <si>
    <t>Rhein-Neckar-Kreis</t>
  </si>
  <si>
    <t>Calw</t>
  </si>
  <si>
    <t>Rastatt</t>
  </si>
  <si>
    <t>Baden Württemberg</t>
  </si>
  <si>
    <t>Lkr_Nr</t>
  </si>
  <si>
    <t>Lkr_Name</t>
  </si>
  <si>
    <t>Lörrach</t>
  </si>
  <si>
    <t>Main-Tauber-Kreis</t>
  </si>
  <si>
    <t>Stand</t>
  </si>
  <si>
    <t>Entwicklung der Biogasanlagen</t>
  </si>
  <si>
    <t>kW / Anlage</t>
  </si>
  <si>
    <t xml:space="preserve">Quellen: </t>
  </si>
  <si>
    <t>Bearbeitung: R. Mueller, LEL Schwäbisch Gmünd, Abt. 3</t>
  </si>
  <si>
    <t xml:space="preserve">in Baden-Württemberg </t>
  </si>
  <si>
    <t>sowie den Stadt-/Landkreisen</t>
  </si>
  <si>
    <t xml:space="preserve">Ministerium für Ländlichen Raum und Verbraucherschutz </t>
  </si>
  <si>
    <t>Staatliche Biogasberatung Baden-Württemberg</t>
  </si>
  <si>
    <t>Mais gesamt</t>
  </si>
  <si>
    <t xml:space="preserve">        Auswahl Dienstbezirk</t>
  </si>
  <si>
    <t>RP Stuttgart</t>
  </si>
  <si>
    <t>RP Karlsruhe</t>
  </si>
  <si>
    <t>RP Freiburg</t>
  </si>
  <si>
    <t>RP Tübingen</t>
  </si>
  <si>
    <t>Baden-Württemberg, Ref. 51</t>
  </si>
  <si>
    <t>Durchschnittliche Leistung je Anlage</t>
  </si>
  <si>
    <t>[kW / Anlage]</t>
  </si>
  <si>
    <t>Elektrische Leistung</t>
  </si>
  <si>
    <t>Zahl der Anlagen</t>
  </si>
  <si>
    <t>Stand: Mai 2018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</si>
</sst>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-* #,##0.0\ _€_-;\-* #,##0.0\ _€_-;_-* &quot;-&quot;??\ _€_-;_-@_-"/>
    <numFmt numFmtId="170" formatCode="_-* #,##0\ _€_-;\-* #,##0\ _€_-;_-* &quot;-&quot;??\ _€_-;_-@_-"/>
    <numFmt numFmtId="171" formatCode="#,##0.0"/>
    <numFmt numFmtId="172" formatCode="_-* #,##0.0\ _€_-;\-* #,##0.0\ _€_-;_-* &quot;-&quot;?\ _€_-;_-@_-"/>
    <numFmt numFmtId="173" formatCode="_-* #,##0\ _€_-;\-* #,##0\ _€_-;_-* &quot;-&quot;?\ _€_-;_-@_-"/>
    <numFmt numFmtId="174" formatCode="#,##0_ ;\-#,##0\ "/>
    <numFmt numFmtId="175" formatCode="0_ ;\-0\ "/>
    <numFmt numFmtId="176" formatCode="_-* #,##0.0\ _€_-;\-* #,##0.0\ _€_-;_-* &quot;-&quot;\ _€_-;_-@_-"/>
    <numFmt numFmtId="177" formatCode="_-* #,##0.00\ _€_-;\-* #,##0.00\ _€_-;_-* &quot;-&quot;?\ _€_-;_-@_-"/>
    <numFmt numFmtId="178" formatCode="_-* #,##0.00\ _€_-;\-* #,##0.00\ _€_-;_-* &quot;-&quot;\ _€_-;_-@_-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0.00000000"/>
    <numFmt numFmtId="183" formatCode="0.0000000"/>
    <numFmt numFmtId="184" formatCode="_-* #,##0.000\ _€_-;\-* #,##0.000\ _€_-;_-* &quot;-&quot;\ _€_-;_-@_-"/>
    <numFmt numFmtId="185" formatCode="#\ ###\ ##0"/>
    <numFmt numFmtId="186" formatCode="#\ ##0"/>
    <numFmt numFmtId="187" formatCode="#,##0\ &quot;DM&quot;;\-#,##0\ &quot;DM&quot;"/>
    <numFmt numFmtId="188" formatCode="#,##0\ &quot;DM&quot;;[Red]\-#,##0\ &quot;DM&quot;"/>
    <numFmt numFmtId="189" formatCode="#,##0.00\ &quot;DM&quot;;\-#,##0.00\ &quot;DM&quot;"/>
    <numFmt numFmtId="190" formatCode="#,##0.00\ &quot;DM&quot;;[Red]\-#,##0.00\ &quot;DM&quot;"/>
    <numFmt numFmtId="191" formatCode="_-* #,##0\ &quot;DM&quot;_-;\-* #,##0\ &quot;DM&quot;_-;_-* &quot;-&quot;\ &quot;DM&quot;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.00\ _D_M_-;\-* #,##0.00\ _D_M_-;_-* &quot;-&quot;??\ _D_M_-;_-@_-"/>
    <numFmt numFmtId="195" formatCode="0.0%"/>
    <numFmt numFmtId="196" formatCode="#\ ###\ ##0\ \ ;\–\ #\ ###\ ##0\ \ ;\ \–\ \ ;* @\ \ "/>
    <numFmt numFmtId="197" formatCode="\+\ 0.0%;\-\ 0.0%"/>
    <numFmt numFmtId="198" formatCode="\+\ \ 0.0;\-\ \ 0.0"/>
    <numFmt numFmtId="199" formatCode="#\ ###\ ##0\ \ \ ;\–\ #\ ###\ ##0\ \ \ ;\ \–\ \ ;* @\ \ "/>
    <numFmt numFmtId="200" formatCode="* \ ?\ ???\ ??0\ \ ;* \–\ ?\ ???\ ??0\ \ ;* 0\ \ ;* @\ \ "/>
    <numFmt numFmtId="201" formatCode="* \ ??\ ??0\ \ ;* \–\ ??\ ??0\ \ ;* 0\ \ ;* @\ \ "/>
    <numFmt numFmtId="202" formatCode="##\ ###\ ##0\ "/>
    <numFmt numFmtId="203" formatCode="#\ ###\ ###\ ##0\ \ ;\–###\ ###\ ##0\ \ ;* \–\ \ ;* @\ \ "/>
    <numFmt numFmtId="204" formatCode="\-\1\2\3\4"/>
    <numFmt numFmtId="205" formatCode="####"/>
    <numFmt numFmtId="206" formatCode="\ \ \ \ @"/>
    <numFmt numFmtId="207" formatCode="\ #\ ###\ ###\ ##0\ \ ;\ \–###\ ###\ ##0\ \ ;\ * \–\ \ ;\ * @\ \ "/>
    <numFmt numFmtId="208" formatCode="General__"/>
    <numFmt numFmtId="209" formatCode="mmm\ yyyy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7.7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7" borderId="0" applyNumberFormat="0" applyBorder="0" applyAlignment="0" applyProtection="0"/>
    <xf numFmtId="0" fontId="9" fillId="38" borderId="1" applyNumberFormat="0" applyAlignment="0" applyProtection="0"/>
    <xf numFmtId="207" fontId="10" fillId="0" borderId="0">
      <alignment horizontal="right"/>
      <protection/>
    </xf>
    <xf numFmtId="0" fontId="11" fillId="38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3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39" borderId="0" applyNumberFormat="0" applyBorder="0" applyAlignment="0" applyProtection="0"/>
    <xf numFmtId="0" fontId="19" fillId="40" borderId="4" applyNumberFormat="0" applyFont="0" applyAlignment="0" applyProtection="0"/>
    <xf numFmtId="9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1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2" fillId="0" borderId="0" xfId="0" applyNumberFormat="1" applyFont="1" applyBorder="1" applyAlignment="1">
      <alignment vertical="top"/>
    </xf>
    <xf numFmtId="170" fontId="0" fillId="0" borderId="0" xfId="68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3" fontId="4" fillId="0" borderId="11" xfId="68" applyNumberFormat="1" applyFont="1" applyBorder="1" applyAlignment="1">
      <alignment/>
    </xf>
    <xf numFmtId="0" fontId="5" fillId="0" borderId="11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0" fillId="0" borderId="0" xfId="73" applyAlignment="1">
      <alignment vertical="center"/>
      <protection/>
    </xf>
    <xf numFmtId="0" fontId="28" fillId="0" borderId="0" xfId="73" applyFont="1" applyAlignment="1">
      <alignment horizontal="center" vertical="center"/>
      <protection/>
    </xf>
    <xf numFmtId="0" fontId="31" fillId="0" borderId="12" xfId="0" applyFont="1" applyBorder="1" applyAlignment="1">
      <alignment horizontal="left" vertical="top" wrapText="1"/>
    </xf>
    <xf numFmtId="0" fontId="28" fillId="0" borderId="13" xfId="73" applyFont="1" applyBorder="1" applyAlignment="1">
      <alignment horizontal="center" vertical="center"/>
      <protection/>
    </xf>
    <xf numFmtId="0" fontId="0" fillId="0" borderId="14" xfId="73" applyBorder="1" applyAlignment="1">
      <alignment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left" vertical="center"/>
      <protection/>
    </xf>
    <xf numFmtId="0" fontId="30" fillId="0" borderId="14" xfId="73" applyFont="1" applyBorder="1" applyAlignment="1">
      <alignment horizontal="right" vertical="center"/>
      <protection/>
    </xf>
    <xf numFmtId="0" fontId="30" fillId="0" borderId="15" xfId="73" applyFont="1" applyBorder="1" applyAlignment="1">
      <alignment horizontal="left" vertical="center"/>
      <protection/>
    </xf>
    <xf numFmtId="0" fontId="30" fillId="0" borderId="15" xfId="73" applyFont="1" applyBorder="1" applyAlignment="1">
      <alignment horizontal="center" vertical="center"/>
      <protection/>
    </xf>
    <xf numFmtId="0" fontId="0" fillId="0" borderId="16" xfId="73" applyBorder="1" applyAlignment="1">
      <alignment vertical="center"/>
      <protection/>
    </xf>
    <xf numFmtId="0" fontId="28" fillId="0" borderId="17" xfId="73" applyFont="1" applyBorder="1" applyAlignment="1">
      <alignment horizontal="center" vertical="center"/>
      <protection/>
    </xf>
    <xf numFmtId="170" fontId="0" fillId="0" borderId="0" xfId="68" applyNumberFormat="1" applyFont="1" applyFill="1" applyBorder="1" applyAlignment="1">
      <alignment/>
    </xf>
    <xf numFmtId="0" fontId="0" fillId="42" borderId="0" xfId="0" applyFill="1" applyAlignment="1">
      <alignment/>
    </xf>
    <xf numFmtId="0" fontId="33" fillId="42" borderId="0" xfId="0" applyFont="1" applyFill="1" applyAlignment="1">
      <alignment vertical="center"/>
    </xf>
    <xf numFmtId="0" fontId="0" fillId="43" borderId="0" xfId="0" applyFill="1" applyBorder="1" applyAlignment="1">
      <alignment/>
    </xf>
    <xf numFmtId="170" fontId="0" fillId="43" borderId="0" xfId="68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14" fontId="4" fillId="43" borderId="0" xfId="0" applyNumberFormat="1" applyFont="1" applyFill="1" applyBorder="1" applyAlignment="1">
      <alignment/>
    </xf>
    <xf numFmtId="1" fontId="6" fillId="42" borderId="0" xfId="0" applyNumberFormat="1" applyFont="1" applyFill="1" applyBorder="1" applyAlignment="1" applyProtection="1">
      <alignment/>
      <protection locked="0"/>
    </xf>
    <xf numFmtId="3" fontId="34" fillId="0" borderId="11" xfId="68" applyNumberFormat="1" applyFont="1" applyBorder="1" applyAlignment="1" applyProtection="1">
      <alignment/>
      <protection/>
    </xf>
    <xf numFmtId="3" fontId="34" fillId="43" borderId="11" xfId="68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170" fontId="1" fillId="0" borderId="18" xfId="68" applyNumberFormat="1" applyFont="1" applyBorder="1" applyAlignment="1">
      <alignment/>
    </xf>
    <xf numFmtId="170" fontId="1" fillId="43" borderId="18" xfId="68" applyNumberFormat="1" applyFont="1" applyFill="1" applyBorder="1" applyAlignment="1">
      <alignment/>
    </xf>
    <xf numFmtId="0" fontId="0" fillId="0" borderId="10" xfId="0" applyBorder="1" applyAlignment="1">
      <alignment/>
    </xf>
    <xf numFmtId="170" fontId="0" fillId="0" borderId="10" xfId="68" applyNumberFormat="1" applyFont="1" applyBorder="1" applyAlignment="1">
      <alignment/>
    </xf>
    <xf numFmtId="170" fontId="0" fillId="43" borderId="10" xfId="68" applyNumberFormat="1" applyFont="1" applyFill="1" applyBorder="1" applyAlignment="1">
      <alignment/>
    </xf>
    <xf numFmtId="170" fontId="0" fillId="0" borderId="19" xfId="68" applyNumberFormat="1" applyFont="1" applyBorder="1" applyAlignment="1">
      <alignment/>
    </xf>
    <xf numFmtId="170" fontId="0" fillId="0" borderId="20" xfId="68" applyNumberFormat="1" applyFont="1" applyBorder="1" applyAlignment="1">
      <alignment/>
    </xf>
    <xf numFmtId="170" fontId="1" fillId="0" borderId="21" xfId="68" applyNumberFormat="1" applyFont="1" applyBorder="1" applyAlignment="1">
      <alignment/>
    </xf>
    <xf numFmtId="0" fontId="35" fillId="0" borderId="0" xfId="0" applyNumberFormat="1" applyFont="1" applyBorder="1" applyAlignment="1">
      <alignment vertical="top"/>
    </xf>
    <xf numFmtId="0" fontId="1" fillId="44" borderId="10" xfId="0" applyNumberFormat="1" applyFont="1" applyFill="1" applyBorder="1" applyAlignment="1">
      <alignment vertical="top"/>
    </xf>
    <xf numFmtId="0" fontId="1" fillId="44" borderId="22" xfId="0" applyNumberFormat="1" applyFont="1" applyFill="1" applyBorder="1" applyAlignment="1">
      <alignment vertical="top"/>
    </xf>
    <xf numFmtId="0" fontId="1" fillId="0" borderId="18" xfId="0" applyFont="1" applyFill="1" applyBorder="1" applyAlignment="1">
      <alignment/>
    </xf>
    <xf numFmtId="0" fontId="1" fillId="43" borderId="18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43" borderId="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43" borderId="18" xfId="0" applyNumberFormat="1" applyFont="1" applyFill="1" applyBorder="1" applyAlignment="1">
      <alignment/>
    </xf>
    <xf numFmtId="0" fontId="1" fillId="44" borderId="22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21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3" fontId="0" fillId="0" borderId="2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43" borderId="1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1" fillId="44" borderId="23" xfId="0" applyFont="1" applyFill="1" applyBorder="1" applyAlignment="1">
      <alignment horizontal="center"/>
    </xf>
    <xf numFmtId="0" fontId="1" fillId="44" borderId="22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3" fillId="0" borderId="14" xfId="73" applyFont="1" applyBorder="1" applyAlignment="1">
      <alignment horizontal="center" vertical="center"/>
      <protection/>
    </xf>
    <xf numFmtId="0" fontId="3" fillId="0" borderId="15" xfId="73" applyFont="1" applyBorder="1" applyAlignment="1">
      <alignment horizontal="center" vertical="center"/>
      <protection/>
    </xf>
    <xf numFmtId="0" fontId="28" fillId="0" borderId="14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9" fillId="0" borderId="14" xfId="73" applyFont="1" applyBorder="1" applyAlignment="1">
      <alignment horizontal="center" vertical="center"/>
      <protection/>
    </xf>
    <xf numFmtId="0" fontId="29" fillId="0" borderId="15" xfId="73" applyFont="1" applyBorder="1" applyAlignment="1">
      <alignment horizontal="center" vertical="center"/>
      <protection/>
    </xf>
    <xf numFmtId="0" fontId="32" fillId="0" borderId="14" xfId="73" applyFont="1" applyBorder="1" applyAlignment="1">
      <alignment horizontal="center" vertical="center"/>
      <protection/>
    </xf>
    <xf numFmtId="0" fontId="32" fillId="0" borderId="15" xfId="73" applyFont="1" applyBorder="1" applyAlignment="1">
      <alignment horizontal="center" vertical="center"/>
      <protection/>
    </xf>
    <xf numFmtId="0" fontId="1" fillId="44" borderId="10" xfId="0" applyNumberFormat="1" applyFont="1" applyFill="1" applyBorder="1" applyAlignment="1">
      <alignment horizontal="center" vertical="center"/>
    </xf>
  </cellXfs>
  <cellStyles count="7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asisOhneNK" xfId="58"/>
    <cellStyle name="Berechnung" xfId="59"/>
    <cellStyle name="Followed Hyperlink" xfId="60"/>
    <cellStyle name="Comma [0]" xfId="61"/>
    <cellStyle name="Eingabe" xfId="62"/>
    <cellStyle name="Ergebnis" xfId="63"/>
    <cellStyle name="Erklärender Text" xfId="64"/>
    <cellStyle name="Euro" xfId="65"/>
    <cellStyle name="Gut" xfId="66"/>
    <cellStyle name="Hyperlink" xfId="67"/>
    <cellStyle name="Comma" xfId="68"/>
    <cellStyle name="Neutral" xfId="69"/>
    <cellStyle name="Notiz" xfId="70"/>
    <cellStyle name="Percent" xfId="71"/>
    <cellStyle name="Schlecht" xfId="72"/>
    <cellStyle name="Standard_Strukturdaten 2008" xfId="73"/>
    <cellStyle name="Überschrift" xfId="74"/>
    <cellStyle name="Überschrift 1" xfId="75"/>
    <cellStyle name="Überschrift 2" xfId="76"/>
    <cellStyle name="Überschrift 3" xfId="77"/>
    <cellStyle name="Überschrift 4" xfId="78"/>
    <cellStyle name="Verknüpfte Zelle" xfId="79"/>
    <cellStyle name="Currency" xfId="80"/>
    <cellStyle name="Currency [0]" xfId="81"/>
    <cellStyle name="Warnender Text" xfId="82"/>
    <cellStyle name="Zelle überprüfen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Grafik!$O$1</c:f>
        </c:strRef>
      </c:tx>
      <c:layout>
        <c:manualLayout>
          <c:xMode val="factor"/>
          <c:yMode val="factor"/>
          <c:x val="-0.10625"/>
          <c:y val="-0.01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1845"/>
          <c:w val="0.96325"/>
          <c:h val="0.7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Grafik!$B$29</c:f>
              <c:strCache>
                <c:ptCount val="1"/>
                <c:pt idx="0">
                  <c:v>Elektrische Leistung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Grafik!$C$28:$O$28</c:f>
              <c:numCache/>
            </c:numRef>
          </c:cat>
          <c:val>
            <c:numRef>
              <c:f>Grafik!$C$29:$O$29</c:f>
              <c:numCache/>
            </c:numRef>
          </c:val>
        </c:ser>
        <c:axId val="25936835"/>
        <c:axId val="7802624"/>
      </c:barChart>
      <c:lineChart>
        <c:grouping val="standard"/>
        <c:varyColors val="0"/>
        <c:ser>
          <c:idx val="0"/>
          <c:order val="1"/>
          <c:tx>
            <c:strRef>
              <c:f>Grafik!$B$30</c:f>
              <c:strCache>
                <c:ptCount val="1"/>
                <c:pt idx="0">
                  <c:v>Zahl der Anlagen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Grafik!$C$28:$O$28</c:f>
              <c:numCache/>
            </c:numRef>
          </c:cat>
          <c:val>
            <c:numRef>
              <c:f>Grafik!$C$30:$O$30</c:f>
              <c:numCache/>
            </c:numRef>
          </c:val>
          <c:smooth val="0"/>
        </c:ser>
        <c:axId val="29637377"/>
        <c:axId val="18405142"/>
      </c:lineChart>
      <c:catAx>
        <c:axId val="25936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Quelle: MInisterium Ländlicher Raum Baden-Württemberg, Ref. 51 und Staatliche Biogasberatung Baden-Württemberg 2005-2017
Bearbeitung: LEL Schwäbisch Gmünd, Abt. 3; Stand: 31.12.2017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02624"/>
        <c:crosses val="autoZero"/>
        <c:auto val="0"/>
        <c:lblOffset val="100"/>
        <c:tickLblSkip val="1"/>
        <c:noMultiLvlLbl val="0"/>
      </c:catAx>
      <c:valAx>
        <c:axId val="78026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Elektr.Leistung</a:t>
                </a:r>
              </a:p>
            </c:rich>
          </c:tx>
          <c:layout>
            <c:manualLayout>
              <c:xMode val="factor"/>
              <c:yMode val="factor"/>
              <c:x val="0.05375"/>
              <c:y val="0.1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36835"/>
        <c:crossesAt val="1"/>
        <c:crossBetween val="between"/>
        <c:dispUnits/>
      </c:valAx>
      <c:catAx>
        <c:axId val="29637377"/>
        <c:scaling>
          <c:orientation val="minMax"/>
        </c:scaling>
        <c:axPos val="b"/>
        <c:delete val="1"/>
        <c:majorTickMark val="out"/>
        <c:minorTickMark val="none"/>
        <c:tickLblPos val="nextTo"/>
        <c:crossAx val="18405142"/>
        <c:crosses val="autoZero"/>
        <c:auto val="0"/>
        <c:lblOffset val="100"/>
        <c:tickLblSkip val="1"/>
        <c:noMultiLvlLbl val="0"/>
      </c:catAx>
      <c:valAx>
        <c:axId val="184051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Anlagen</a:t>
                </a:r>
              </a:p>
            </c:rich>
          </c:tx>
          <c:layout>
            <c:manualLayout>
              <c:xMode val="factor"/>
              <c:yMode val="factor"/>
              <c:x val="0.039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3737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275"/>
          <c:y val="0.23725"/>
          <c:w val="0.219"/>
          <c:h val="0.0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14</xdr:col>
      <xdr:colOff>438150</xdr:colOff>
      <xdr:row>26</xdr:row>
      <xdr:rowOff>0</xdr:rowOff>
    </xdr:to>
    <xdr:graphicFrame>
      <xdr:nvGraphicFramePr>
        <xdr:cNvPr id="1" name="Diagramm 3"/>
        <xdr:cNvGraphicFramePr/>
      </xdr:nvGraphicFramePr>
      <xdr:xfrm>
        <a:off x="123825" y="333375"/>
        <a:ext cx="75247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152400</xdr:rowOff>
    </xdr:from>
    <xdr:to>
      <xdr:col>2</xdr:col>
      <xdr:colOff>314325</xdr:colOff>
      <xdr:row>0</xdr:row>
      <xdr:rowOff>152400</xdr:rowOff>
    </xdr:to>
    <xdr:sp>
      <xdr:nvSpPr>
        <xdr:cNvPr id="2" name="Line 4"/>
        <xdr:cNvSpPr>
          <a:spLocks/>
        </xdr:cNvSpPr>
      </xdr:nvSpPr>
      <xdr:spPr>
        <a:xfrm flipH="1">
          <a:off x="1895475" y="152400"/>
          <a:ext cx="257175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landwirtschaft-bw.info/Mueller\Daten%20und%20Fakten\Vergleich%20der%20Regionen\Daten\lel_21.09.2011%20-%20Vergleich%20der%20Regionen_Arbeitsfass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nweise"/>
      <sheetName val="Vergleich"/>
      <sheetName val="Grafik_1"/>
      <sheetName val="Grafik_3"/>
      <sheetName val="Gesamt"/>
      <sheetName val="Gebietsliste"/>
    </sheetNames>
    <sheetDataSet>
      <sheetData sheetId="1">
        <row r="3">
          <cell r="G3">
            <v>2</v>
          </cell>
          <cell r="H3">
            <v>4</v>
          </cell>
          <cell r="I3">
            <v>31</v>
          </cell>
          <cell r="J3">
            <v>39</v>
          </cell>
        </row>
      </sheetData>
      <sheetData sheetId="5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3.8515625" style="17" customWidth="1"/>
    <col min="2" max="2" width="78.140625" style="18" customWidth="1"/>
    <col min="3" max="16384" width="11.421875" style="17" customWidth="1"/>
  </cols>
  <sheetData>
    <row r="1" spans="1:2" ht="22.5" customHeight="1">
      <c r="A1" s="19"/>
      <c r="B1" s="20"/>
    </row>
    <row r="2" spans="1:2" ht="22.5" customHeight="1">
      <c r="A2" s="21"/>
      <c r="B2" s="22"/>
    </row>
    <row r="3" spans="1:2" ht="22.5" customHeight="1">
      <c r="A3" s="21"/>
      <c r="B3" s="22"/>
    </row>
    <row r="4" spans="1:2" ht="22.5" customHeight="1">
      <c r="A4" s="21"/>
      <c r="B4" s="22"/>
    </row>
    <row r="5" spans="1:2" ht="22.5" customHeight="1">
      <c r="A5" s="21"/>
      <c r="B5" s="22"/>
    </row>
    <row r="6" spans="1:2" ht="22.5" customHeight="1">
      <c r="A6" s="21"/>
      <c r="B6" s="22"/>
    </row>
    <row r="7" spans="1:2" ht="22.5" customHeight="1">
      <c r="A7" s="21"/>
      <c r="B7" s="22"/>
    </row>
    <row r="8" spans="1:2" ht="22.5" customHeight="1">
      <c r="A8" s="77"/>
      <c r="B8" s="78"/>
    </row>
    <row r="9" spans="1:2" ht="22.5" customHeight="1">
      <c r="A9" s="77"/>
      <c r="B9" s="78"/>
    </row>
    <row r="10" spans="1:2" ht="30" customHeight="1">
      <c r="A10" s="81" t="s">
        <v>40</v>
      </c>
      <c r="B10" s="82"/>
    </row>
    <row r="11" spans="1:2" ht="14.25" customHeight="1">
      <c r="A11" s="21"/>
      <c r="B11" s="22"/>
    </row>
    <row r="12" spans="1:2" ht="30" customHeight="1">
      <c r="A12" s="81" t="s">
        <v>44</v>
      </c>
      <c r="B12" s="82"/>
    </row>
    <row r="13" spans="1:2" ht="14.25" customHeight="1">
      <c r="A13" s="21"/>
      <c r="B13" s="22"/>
    </row>
    <row r="14" spans="1:2" ht="30" customHeight="1">
      <c r="A14" s="81" t="s">
        <v>45</v>
      </c>
      <c r="B14" s="82"/>
    </row>
    <row r="15" spans="1:2" ht="22.5" customHeight="1">
      <c r="A15" s="21"/>
      <c r="B15" s="23"/>
    </row>
    <row r="16" spans="1:2" ht="27.75">
      <c r="A16" s="83"/>
      <c r="B16" s="84"/>
    </row>
    <row r="17" spans="1:2" ht="22.5" customHeight="1">
      <c r="A17" s="21"/>
      <c r="B17" s="22"/>
    </row>
    <row r="18" spans="1:2" ht="22.5" customHeight="1">
      <c r="A18" s="21"/>
      <c r="B18" s="22"/>
    </row>
    <row r="19" spans="1:2" ht="22.5" customHeight="1">
      <c r="A19" s="79" t="s">
        <v>59</v>
      </c>
      <c r="B19" s="80"/>
    </row>
    <row r="20" spans="1:2" ht="22.5" customHeight="1">
      <c r="A20" s="21"/>
      <c r="B20" s="22"/>
    </row>
    <row r="21" spans="1:2" ht="22.5" customHeight="1">
      <c r="A21" s="21"/>
      <c r="B21" s="22"/>
    </row>
    <row r="22" spans="1:2" ht="22.5" customHeight="1">
      <c r="A22" s="21"/>
      <c r="B22" s="22"/>
    </row>
    <row r="23" spans="1:2" ht="22.5" customHeight="1">
      <c r="A23" s="21"/>
      <c r="B23" s="22"/>
    </row>
    <row r="24" spans="1:2" ht="22.5" customHeight="1">
      <c r="A24" s="24" t="s">
        <v>42</v>
      </c>
      <c r="B24" s="25" t="s">
        <v>46</v>
      </c>
    </row>
    <row r="25" spans="1:2" ht="22.5" customHeight="1">
      <c r="A25" s="21"/>
      <c r="B25" s="25" t="s">
        <v>54</v>
      </c>
    </row>
    <row r="26" spans="1:2" ht="22.5" customHeight="1">
      <c r="A26" s="21"/>
      <c r="B26" s="25"/>
    </row>
    <row r="27" spans="1:2" ht="22.5" customHeight="1">
      <c r="A27" s="21"/>
      <c r="B27" s="25" t="s">
        <v>47</v>
      </c>
    </row>
    <row r="28" spans="1:2" ht="22.5" customHeight="1">
      <c r="A28" s="21"/>
      <c r="B28" s="25"/>
    </row>
    <row r="29" spans="1:2" ht="22.5" customHeight="1">
      <c r="A29" s="21"/>
      <c r="B29" s="25"/>
    </row>
    <row r="30" spans="1:2" ht="22.5" customHeight="1">
      <c r="A30" s="21"/>
      <c r="B30" s="26"/>
    </row>
    <row r="31" spans="1:2" ht="22.5" customHeight="1">
      <c r="A31" s="21"/>
      <c r="B31" s="25" t="s">
        <v>43</v>
      </c>
    </row>
    <row r="32" spans="1:2" ht="22.5" customHeight="1">
      <c r="A32" s="21"/>
      <c r="B32" s="25"/>
    </row>
    <row r="33" spans="1:2" ht="22.5" customHeight="1">
      <c r="A33" s="21"/>
      <c r="B33" s="25"/>
    </row>
    <row r="34" spans="1:2" ht="22.5" customHeight="1">
      <c r="A34" s="21"/>
      <c r="B34" s="25"/>
    </row>
    <row r="35" spans="1:2" ht="22.5" customHeight="1">
      <c r="A35" s="21"/>
      <c r="B35" s="22"/>
    </row>
    <row r="36" spans="1:2" ht="22.5" customHeight="1" thickBot="1">
      <c r="A36" s="27"/>
      <c r="B36" s="28"/>
    </row>
    <row r="37" ht="9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 password="CC18" sheet="1"/>
  <mergeCells count="7">
    <mergeCell ref="A8:B8"/>
    <mergeCell ref="A9:B9"/>
    <mergeCell ref="A19:B19"/>
    <mergeCell ref="A10:B10"/>
    <mergeCell ref="A12:B12"/>
    <mergeCell ref="A14:B14"/>
    <mergeCell ref="A16:B16"/>
  </mergeCells>
  <printOptions horizontalCentered="1" verticalCentered="1"/>
  <pageMargins left="0.7874015748031497" right="0.7874015748031497" top="0.5905511811023623" bottom="0.5905511811023623" header="0.3937007874015748" footer="0.1968503937007874"/>
  <pageSetup fitToHeight="0" fitToWidth="1" horizontalDpi="600" verticalDpi="600" orientation="portrait" paperSize="9" scale="94" r:id="rId4"/>
  <rowBreaks count="1" manualBreakCount="1">
    <brk id="36" max="1" man="1"/>
  </rowBreaks>
  <legacyDrawing r:id="rId3"/>
  <oleObjects>
    <oleObject progId="Paint.Picture" shapeId="1935658" r:id="rId1"/>
    <oleObject progId="Paint.Picture" shapeId="195346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.7109375" style="0" customWidth="1"/>
    <col min="2" max="2" width="25.8515625" style="0" bestFit="1" customWidth="1"/>
    <col min="3" max="15" width="6.7109375" style="0" customWidth="1"/>
  </cols>
  <sheetData>
    <row r="1" spans="1:15" ht="24.75" customHeight="1">
      <c r="A1" s="37">
        <v>13</v>
      </c>
      <c r="B1" s="30"/>
      <c r="C1" s="31" t="s">
        <v>49</v>
      </c>
      <c r="D1" s="30"/>
      <c r="E1" s="30"/>
      <c r="F1" s="30"/>
      <c r="G1" s="30"/>
      <c r="O1" t="str">
        <f>"Entwicklung der Biogasanlagen in "&amp;B28</f>
        <v>Entwicklung der Biogasanlagen in Karlsruhe</v>
      </c>
    </row>
    <row r="2" spans="3:10" ht="15" customHeight="1">
      <c r="C2" s="2"/>
      <c r="D2" s="2"/>
      <c r="E2" s="2"/>
      <c r="F2" s="2"/>
      <c r="G2" s="2"/>
      <c r="H2" s="2"/>
      <c r="I2" s="2"/>
      <c r="J2" s="2"/>
    </row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spans="2:15" ht="15" customHeight="1">
      <c r="B28" s="15" t="str">
        <f>VLOOKUP($A$1,Anlagen!$A$3:$K$44,3,FALSE)</f>
        <v>Karlsruhe</v>
      </c>
      <c r="C28" s="13">
        <v>2005</v>
      </c>
      <c r="D28" s="13">
        <v>2006</v>
      </c>
      <c r="E28" s="13">
        <v>2007</v>
      </c>
      <c r="F28" s="13">
        <v>2008</v>
      </c>
      <c r="G28" s="13">
        <v>2009</v>
      </c>
      <c r="H28" s="13">
        <v>2010</v>
      </c>
      <c r="I28" s="13">
        <v>2011</v>
      </c>
      <c r="J28" s="13">
        <v>2012</v>
      </c>
      <c r="K28" s="13">
        <v>2013</v>
      </c>
      <c r="L28" s="13">
        <v>2014</v>
      </c>
      <c r="M28" s="13">
        <v>2015</v>
      </c>
      <c r="N28" s="13">
        <v>2016</v>
      </c>
      <c r="O28" s="13">
        <v>2017</v>
      </c>
    </row>
    <row r="29" spans="1:15" ht="15" customHeight="1">
      <c r="A29" s="12"/>
      <c r="B29" s="16" t="str">
        <f>kW_el!B1</f>
        <v>Elektrische Leistung</v>
      </c>
      <c r="C29" s="38">
        <f>VLOOKUP($A$1,kW_el!$A$3:$K$44,5,FALSE)</f>
        <v>720</v>
      </c>
      <c r="D29" s="38">
        <f>VLOOKUP($A$1,kW_el!$A$3:$K$44,6,FALSE)</f>
        <v>720</v>
      </c>
      <c r="E29" s="38">
        <f>VLOOKUP($A$1,kW_el!$A$3:$K$44,7,FALSE)</f>
        <v>720</v>
      </c>
      <c r="F29" s="38">
        <f>VLOOKUP($A$1,kW_el!$A$3:$K$44,8,FALSE)</f>
        <v>720</v>
      </c>
      <c r="G29" s="38">
        <f>VLOOKUP($A$1,kW_el!$A$3:$K$44,9,FALSE)</f>
        <v>1109</v>
      </c>
      <c r="H29" s="38">
        <f>VLOOKUP($A$1,kW_el!$A$3:$K$44,10,FALSE)</f>
        <v>1656</v>
      </c>
      <c r="I29" s="38">
        <f>VLOOKUP($A$1,kW_el!$A$3:$K$44,11,FALSE)</f>
        <v>2096</v>
      </c>
      <c r="J29" s="38">
        <f>VLOOKUP($A$1,kW_el!$A$3:$L$44,12,FALSE)</f>
        <v>1700</v>
      </c>
      <c r="K29" s="38">
        <f>VLOOKUP($A$1,kW_el!$A$3:$M$44,13,FALSE)</f>
        <v>3141</v>
      </c>
      <c r="L29" s="38">
        <f>VLOOKUP($A$1,kW_el!$A$3:$N$44,14,FALSE)</f>
        <v>3141</v>
      </c>
      <c r="M29" s="39">
        <f>VLOOKUP($A$1,kW_el!$A$3:$O$44,15,FALSE)</f>
        <v>3141</v>
      </c>
      <c r="N29" s="39">
        <f>VLOOKUP($A$1,kW_el!$A$3:$P$44,16,FALSE)</f>
        <v>3141</v>
      </c>
      <c r="O29" s="39">
        <f>VLOOKUP($A$1,kW_el!$A$3:$Q$44,17,FALSE)</f>
        <v>3216</v>
      </c>
    </row>
    <row r="30" spans="1:15" ht="15" customHeight="1">
      <c r="A30" s="12"/>
      <c r="B30" s="16" t="str">
        <f>Anlagen!B1</f>
        <v>Zahl der Anlagen</v>
      </c>
      <c r="C30" s="38">
        <f>VLOOKUP($A$1,Anlagen!$A$3:$K$44,5,FALSE)</f>
        <v>3</v>
      </c>
      <c r="D30" s="38">
        <f>VLOOKUP($A$1,Anlagen!$A$3:$K$44,6,FALSE)</f>
        <v>3</v>
      </c>
      <c r="E30" s="38">
        <f>VLOOKUP($A$1,Anlagen!$A$3:$K$44,7,FALSE)</f>
        <v>3</v>
      </c>
      <c r="F30" s="38">
        <f>VLOOKUP($A$1,Anlagen!$A$3:$K$44,8,FALSE)</f>
        <v>3</v>
      </c>
      <c r="G30" s="38">
        <f>VLOOKUP($A$1,Anlagen!$A$3:$K$44,9,FALSE)</f>
        <v>4</v>
      </c>
      <c r="H30" s="38">
        <f>VLOOKUP($A$1,Anlagen!$A$3:$K$44,10,FALSE)</f>
        <v>6</v>
      </c>
      <c r="I30" s="38">
        <f>VLOOKUP($A$1,Anlagen!$A$3:$K$44,11,FALSE)</f>
        <v>6</v>
      </c>
      <c r="J30" s="38">
        <f>VLOOKUP($A$1,Anlagen!$A$3:$L$44,12,FALSE)</f>
        <v>6</v>
      </c>
      <c r="K30" s="38">
        <f>VLOOKUP($A$1,Anlagen!$A$3:$M$44,13,FALSE)</f>
        <v>7</v>
      </c>
      <c r="L30" s="38">
        <f>VLOOKUP($A$1,Anlagen!$A$3:$N$44,14,FALSE)</f>
        <v>7</v>
      </c>
      <c r="M30" s="39">
        <f>VLOOKUP($A$1,Anlagen!$A$3:$O$44,15,FALSE)</f>
        <v>7</v>
      </c>
      <c r="N30" s="39">
        <f>VLOOKUP($A$1,Anlagen!$A$3:$P$44,16,FALSE)</f>
        <v>7</v>
      </c>
      <c r="O30" s="39">
        <f>VLOOKUP($A$1,Anlagen!$A$3:$Q$44,17,FALSE)</f>
        <v>8</v>
      </c>
    </row>
    <row r="31" spans="1:15" ht="15" customHeight="1">
      <c r="A31" s="12"/>
      <c r="B31" s="16" t="s">
        <v>41</v>
      </c>
      <c r="C31" s="38">
        <f>VLOOKUP($A$1,'kW je Anlage'!$A$3:$K$44,5,FALSE)</f>
        <v>240</v>
      </c>
      <c r="D31" s="38">
        <f>VLOOKUP($A$1,'kW je Anlage'!$A$3:$K$44,6,FALSE)</f>
        <v>240</v>
      </c>
      <c r="E31" s="38">
        <f>VLOOKUP($A$1,'kW je Anlage'!$A$3:$K$44,7,FALSE)</f>
        <v>240</v>
      </c>
      <c r="F31" s="38">
        <f>VLOOKUP($A$1,'kW je Anlage'!$A$3:$K$44,8,FALSE)</f>
        <v>240</v>
      </c>
      <c r="G31" s="38">
        <f>VLOOKUP($A$1,'kW je Anlage'!$A$3:$K$44,9,FALSE)</f>
        <v>277.25</v>
      </c>
      <c r="H31" s="38">
        <f>VLOOKUP($A$1,'kW je Anlage'!$A$3:$K$44,10,FALSE)</f>
        <v>276</v>
      </c>
      <c r="I31" s="38">
        <f>VLOOKUP($A$1,'kW je Anlage'!$A$3:$K$44,11,FALSE)</f>
        <v>349.3333333333333</v>
      </c>
      <c r="J31" s="38">
        <f>VLOOKUP($A$1,'kW je Anlage'!$A$3:$L$44,12,FALSE)</f>
        <v>283.3333333333333</v>
      </c>
      <c r="K31" s="38">
        <f>VLOOKUP($A$1,'kW je Anlage'!$A$3:$M$44,13,FALSE)</f>
        <v>448.7142857142857</v>
      </c>
      <c r="L31" s="38">
        <f>VLOOKUP($A$1,'kW je Anlage'!$A$3:$N$44,14,FALSE)</f>
        <v>448.7142857142857</v>
      </c>
      <c r="M31" s="39">
        <f>VLOOKUP($A$1,'kW je Anlage'!$A$3:$O$44,15,FALSE)</f>
        <v>448.7142857142857</v>
      </c>
      <c r="N31" s="39">
        <f>VLOOKUP($A$1,'kW je Anlage'!$A$3:$P$44,16,FALSE)</f>
        <v>448.7142857142857</v>
      </c>
      <c r="O31" s="39">
        <f>VLOOKUP($A$1,'kW je Anlage'!$A$3:$Q$44,17,FALSE)</f>
        <v>402</v>
      </c>
    </row>
    <row r="32" spans="2:10" ht="12.75" hidden="1">
      <c r="B32" s="16" t="str">
        <f>Mais!D1&amp;" (ha)"</f>
        <v>Mais gesamt (ha)</v>
      </c>
      <c r="C32" s="14">
        <f>VLOOKUP($A$1,Mais!$A$2:$K$43,4,FALSE)</f>
        <v>0</v>
      </c>
      <c r="D32" s="14">
        <f>VLOOKUP($A$1,Mais!$A$2:$K$43,5,FALSE)</f>
        <v>0</v>
      </c>
      <c r="E32" s="14">
        <f>VLOOKUP($A$1,Mais!$A$2:$K$43,6,FALSE)</f>
        <v>0</v>
      </c>
      <c r="F32" s="14">
        <f>VLOOKUP($A$1,Mais!$A$2:$K$43,7,FALSE)</f>
        <v>6279</v>
      </c>
      <c r="G32" s="14">
        <f>VLOOKUP($A$1,Mais!$A$2:$K$43,8,FALSE)</f>
        <v>0</v>
      </c>
      <c r="H32" s="14">
        <f>VLOOKUP($A$1,Mais!$A$2:$K$43,9,FALSE)</f>
        <v>0</v>
      </c>
      <c r="I32" s="14">
        <f>VLOOKUP($A$1,Mais!$A$2:$K$43,10,FALSE)</f>
        <v>7163</v>
      </c>
      <c r="J32" s="14">
        <f>VLOOKUP($A$1,Mais!$A$2:$K$43,11,FALSE)</f>
        <v>0</v>
      </c>
    </row>
  </sheetData>
  <sheetProtection password="CC18" sheet="1"/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11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58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>
      <c r="B3" s="85" t="s">
        <v>35</v>
      </c>
      <c r="C3" s="50" t="s">
        <v>36</v>
      </c>
      <c r="D3" s="76">
        <v>2004</v>
      </c>
      <c r="E3" s="76">
        <v>2005</v>
      </c>
      <c r="F3" s="76">
        <v>2006</v>
      </c>
      <c r="G3" s="76">
        <v>2007</v>
      </c>
      <c r="H3" s="76">
        <v>2008</v>
      </c>
      <c r="I3" s="76">
        <v>2009</v>
      </c>
      <c r="J3" s="76">
        <v>2010</v>
      </c>
      <c r="K3" s="76">
        <v>2011</v>
      </c>
      <c r="L3" s="76">
        <v>2012</v>
      </c>
      <c r="M3" s="76">
        <v>2013</v>
      </c>
      <c r="N3" s="76">
        <v>2014</v>
      </c>
      <c r="O3" s="76">
        <v>2015</v>
      </c>
      <c r="P3" s="76">
        <v>2016</v>
      </c>
      <c r="Q3" s="76">
        <v>2017</v>
      </c>
    </row>
    <row r="4" spans="1:17" ht="12.75">
      <c r="A4" s="2">
        <v>1</v>
      </c>
      <c r="B4" s="62">
        <v>111</v>
      </c>
      <c r="C4" s="2" t="s">
        <v>23</v>
      </c>
      <c r="D4" s="2">
        <v>1</v>
      </c>
      <c r="E4" s="3">
        <v>1</v>
      </c>
      <c r="F4" s="3">
        <v>1</v>
      </c>
      <c r="G4" s="3">
        <v>1</v>
      </c>
      <c r="H4" s="2">
        <v>1</v>
      </c>
      <c r="I4" s="2">
        <v>1</v>
      </c>
      <c r="J4" s="2">
        <v>1</v>
      </c>
      <c r="K4" s="2">
        <v>1</v>
      </c>
      <c r="L4" s="3">
        <v>1</v>
      </c>
      <c r="M4" s="2">
        <v>1</v>
      </c>
      <c r="N4" s="3">
        <v>1</v>
      </c>
      <c r="O4" s="3">
        <v>1</v>
      </c>
      <c r="P4" s="2">
        <v>1</v>
      </c>
      <c r="Q4" s="2">
        <v>1</v>
      </c>
    </row>
    <row r="5" spans="1:17" ht="12.75">
      <c r="A5" s="2">
        <v>2</v>
      </c>
      <c r="B5" s="62">
        <v>115</v>
      </c>
      <c r="C5" s="2" t="s">
        <v>21</v>
      </c>
      <c r="D5" s="2">
        <v>1</v>
      </c>
      <c r="E5" s="3">
        <v>2</v>
      </c>
      <c r="F5" s="3">
        <v>2</v>
      </c>
      <c r="G5" s="3">
        <v>5</v>
      </c>
      <c r="H5" s="2">
        <v>5</v>
      </c>
      <c r="I5" s="2">
        <v>5</v>
      </c>
      <c r="J5" s="2">
        <v>5</v>
      </c>
      <c r="K5" s="2">
        <v>6</v>
      </c>
      <c r="L5" s="3">
        <v>6</v>
      </c>
      <c r="M5" s="2">
        <v>7</v>
      </c>
      <c r="N5" s="3">
        <v>7</v>
      </c>
      <c r="O5" s="3">
        <v>7</v>
      </c>
      <c r="P5" s="2">
        <v>7</v>
      </c>
      <c r="Q5" s="2">
        <v>7</v>
      </c>
    </row>
    <row r="6" spans="1:17" ht="12.75">
      <c r="A6" s="2">
        <v>3</v>
      </c>
      <c r="B6" s="62">
        <v>116</v>
      </c>
      <c r="C6" s="2" t="s">
        <v>25</v>
      </c>
      <c r="D6" s="2">
        <v>2</v>
      </c>
      <c r="E6" s="3">
        <v>3</v>
      </c>
      <c r="F6" s="3">
        <v>4</v>
      </c>
      <c r="G6" s="3">
        <v>4</v>
      </c>
      <c r="H6" s="2">
        <v>5</v>
      </c>
      <c r="I6" s="2">
        <v>5</v>
      </c>
      <c r="J6" s="3">
        <v>6</v>
      </c>
      <c r="K6" s="3">
        <v>8</v>
      </c>
      <c r="L6" s="3">
        <v>8</v>
      </c>
      <c r="M6" s="2">
        <v>8</v>
      </c>
      <c r="N6" s="3">
        <v>8</v>
      </c>
      <c r="O6" s="3">
        <v>8</v>
      </c>
      <c r="P6" s="2">
        <v>8</v>
      </c>
      <c r="Q6" s="2">
        <v>8</v>
      </c>
    </row>
    <row r="7" spans="1:17" ht="12.75">
      <c r="A7" s="2">
        <v>4</v>
      </c>
      <c r="B7" s="62">
        <v>117</v>
      </c>
      <c r="C7" s="2" t="s">
        <v>18</v>
      </c>
      <c r="D7" s="2">
        <v>3</v>
      </c>
      <c r="E7" s="3">
        <v>5</v>
      </c>
      <c r="F7" s="3">
        <v>5</v>
      </c>
      <c r="G7" s="3">
        <v>7</v>
      </c>
      <c r="H7" s="3">
        <v>7</v>
      </c>
      <c r="I7" s="2">
        <v>7</v>
      </c>
      <c r="J7" s="3">
        <v>10</v>
      </c>
      <c r="K7" s="3">
        <v>11</v>
      </c>
      <c r="L7" s="3">
        <v>11</v>
      </c>
      <c r="M7" s="2">
        <v>13</v>
      </c>
      <c r="N7" s="3">
        <v>15</v>
      </c>
      <c r="O7" s="3">
        <v>15</v>
      </c>
      <c r="P7" s="2">
        <v>16</v>
      </c>
      <c r="Q7" s="2">
        <v>17</v>
      </c>
    </row>
    <row r="8" spans="1:17" ht="12.75">
      <c r="A8" s="2">
        <v>5</v>
      </c>
      <c r="B8" s="62">
        <v>118</v>
      </c>
      <c r="C8" s="2" t="s">
        <v>24</v>
      </c>
      <c r="D8" s="2">
        <v>0</v>
      </c>
      <c r="E8" s="3">
        <v>0</v>
      </c>
      <c r="F8" s="3">
        <v>3</v>
      </c>
      <c r="G8" s="3">
        <v>7</v>
      </c>
      <c r="H8" s="3">
        <v>9</v>
      </c>
      <c r="I8" s="2">
        <v>9</v>
      </c>
      <c r="J8" s="3">
        <v>10</v>
      </c>
      <c r="K8" s="3">
        <v>13</v>
      </c>
      <c r="L8" s="3">
        <v>14</v>
      </c>
      <c r="M8" s="2">
        <v>16</v>
      </c>
      <c r="N8" s="3">
        <v>16</v>
      </c>
      <c r="O8" s="3">
        <v>16</v>
      </c>
      <c r="P8" s="2">
        <v>17</v>
      </c>
      <c r="Q8" s="2">
        <v>18</v>
      </c>
    </row>
    <row r="9" spans="1:17" ht="12.75">
      <c r="A9" s="2">
        <v>6</v>
      </c>
      <c r="B9" s="62">
        <v>119</v>
      </c>
      <c r="C9" s="2" t="s">
        <v>16</v>
      </c>
      <c r="D9" s="2">
        <v>4</v>
      </c>
      <c r="E9" s="3">
        <v>4</v>
      </c>
      <c r="F9" s="3">
        <v>4</v>
      </c>
      <c r="G9" s="3">
        <v>5</v>
      </c>
      <c r="H9" s="3">
        <v>5</v>
      </c>
      <c r="I9" s="2">
        <v>8</v>
      </c>
      <c r="J9" s="3">
        <v>12</v>
      </c>
      <c r="K9" s="3">
        <v>13</v>
      </c>
      <c r="L9" s="3">
        <v>13</v>
      </c>
      <c r="M9" s="2">
        <v>14</v>
      </c>
      <c r="N9" s="3">
        <v>15</v>
      </c>
      <c r="O9" s="3">
        <v>15</v>
      </c>
      <c r="P9" s="2">
        <v>15</v>
      </c>
      <c r="Q9" s="2">
        <v>15</v>
      </c>
    </row>
    <row r="10" spans="1:17" ht="12.75">
      <c r="A10" s="2">
        <v>7</v>
      </c>
      <c r="B10" s="62">
        <v>125</v>
      </c>
      <c r="C10" s="2" t="s">
        <v>20</v>
      </c>
      <c r="D10" s="2">
        <v>3</v>
      </c>
      <c r="E10" s="3">
        <v>3</v>
      </c>
      <c r="F10" s="3">
        <v>3</v>
      </c>
      <c r="G10" s="3">
        <v>5</v>
      </c>
      <c r="H10" s="3">
        <v>6</v>
      </c>
      <c r="I10" s="2">
        <v>6</v>
      </c>
      <c r="J10" s="3">
        <v>7</v>
      </c>
      <c r="K10" s="3">
        <v>8</v>
      </c>
      <c r="L10" s="3">
        <v>8</v>
      </c>
      <c r="M10" s="2">
        <v>9</v>
      </c>
      <c r="N10" s="3">
        <v>11</v>
      </c>
      <c r="O10" s="3">
        <v>11</v>
      </c>
      <c r="P10" s="2">
        <v>12</v>
      </c>
      <c r="Q10" s="2">
        <v>11</v>
      </c>
    </row>
    <row r="11" spans="1:17" ht="12.75">
      <c r="A11" s="2">
        <v>8</v>
      </c>
      <c r="B11" s="62">
        <v>126</v>
      </c>
      <c r="C11" s="2" t="s">
        <v>26</v>
      </c>
      <c r="D11" s="2">
        <v>7</v>
      </c>
      <c r="E11" s="3">
        <v>8</v>
      </c>
      <c r="F11" s="3">
        <v>8</v>
      </c>
      <c r="G11" s="3">
        <v>9</v>
      </c>
      <c r="H11" s="3">
        <v>11</v>
      </c>
      <c r="I11" s="2">
        <v>13</v>
      </c>
      <c r="J11" s="3">
        <v>15</v>
      </c>
      <c r="K11" s="3">
        <v>18</v>
      </c>
      <c r="L11" s="3">
        <v>18</v>
      </c>
      <c r="M11" s="2">
        <v>19</v>
      </c>
      <c r="N11" s="3">
        <v>19</v>
      </c>
      <c r="O11" s="3">
        <v>19</v>
      </c>
      <c r="P11" s="2">
        <v>20</v>
      </c>
      <c r="Q11" s="2">
        <v>22</v>
      </c>
    </row>
    <row r="12" spans="1:17" ht="12.75">
      <c r="A12" s="2">
        <v>9</v>
      </c>
      <c r="B12" s="62">
        <v>127</v>
      </c>
      <c r="C12" s="2" t="s">
        <v>22</v>
      </c>
      <c r="D12" s="2">
        <v>20</v>
      </c>
      <c r="E12" s="3">
        <v>25</v>
      </c>
      <c r="F12" s="3">
        <v>22</v>
      </c>
      <c r="G12" s="3">
        <v>26</v>
      </c>
      <c r="H12" s="3">
        <v>26</v>
      </c>
      <c r="I12" s="2">
        <v>31</v>
      </c>
      <c r="J12" s="3">
        <v>41</v>
      </c>
      <c r="K12" s="3">
        <v>46</v>
      </c>
      <c r="L12" s="3">
        <v>49</v>
      </c>
      <c r="M12" s="2">
        <v>53</v>
      </c>
      <c r="N12" s="3">
        <v>56</v>
      </c>
      <c r="O12" s="3">
        <v>58</v>
      </c>
      <c r="P12" s="2">
        <v>60</v>
      </c>
      <c r="Q12" s="2">
        <v>61</v>
      </c>
    </row>
    <row r="13" spans="1:17" ht="12.75">
      <c r="A13" s="2">
        <v>10</v>
      </c>
      <c r="B13" s="63">
        <v>128</v>
      </c>
      <c r="C13" s="3" t="s">
        <v>38</v>
      </c>
      <c r="D13" s="3">
        <v>5</v>
      </c>
      <c r="E13" s="3">
        <v>6</v>
      </c>
      <c r="F13" s="3">
        <v>7</v>
      </c>
      <c r="G13" s="3">
        <v>9</v>
      </c>
      <c r="H13" s="3">
        <v>8</v>
      </c>
      <c r="I13" s="2">
        <v>8</v>
      </c>
      <c r="J13" s="3">
        <v>10</v>
      </c>
      <c r="K13" s="3">
        <v>15</v>
      </c>
      <c r="L13" s="3">
        <v>15</v>
      </c>
      <c r="M13" s="2">
        <v>16</v>
      </c>
      <c r="N13" s="3">
        <v>16</v>
      </c>
      <c r="O13" s="3">
        <v>16</v>
      </c>
      <c r="P13" s="2">
        <v>17</v>
      </c>
      <c r="Q13" s="2">
        <v>17</v>
      </c>
    </row>
    <row r="14" spans="1:17" ht="12.75">
      <c r="A14" s="2">
        <v>11</v>
      </c>
      <c r="B14" s="62">
        <v>135</v>
      </c>
      <c r="C14" s="2" t="s">
        <v>19</v>
      </c>
      <c r="D14" s="2">
        <v>11</v>
      </c>
      <c r="E14" s="3">
        <v>13</v>
      </c>
      <c r="F14" s="3">
        <v>15</v>
      </c>
      <c r="G14" s="3">
        <v>15</v>
      </c>
      <c r="H14" s="3">
        <v>15</v>
      </c>
      <c r="I14" s="2">
        <v>18</v>
      </c>
      <c r="J14" s="3">
        <v>20</v>
      </c>
      <c r="K14" s="3">
        <v>26</v>
      </c>
      <c r="L14" s="3">
        <v>27</v>
      </c>
      <c r="M14" s="2">
        <v>29</v>
      </c>
      <c r="N14" s="3">
        <v>29</v>
      </c>
      <c r="O14" s="3">
        <v>29</v>
      </c>
      <c r="P14" s="2">
        <v>31</v>
      </c>
      <c r="Q14" s="2">
        <v>32</v>
      </c>
    </row>
    <row r="15" spans="1:17" ht="12.75">
      <c r="A15" s="2">
        <v>12</v>
      </c>
      <c r="B15" s="67">
        <v>136</v>
      </c>
      <c r="C15" s="43" t="s">
        <v>17</v>
      </c>
      <c r="D15" s="43">
        <v>6</v>
      </c>
      <c r="E15" s="73">
        <v>8</v>
      </c>
      <c r="F15" s="73">
        <v>10</v>
      </c>
      <c r="G15" s="73">
        <v>10</v>
      </c>
      <c r="H15" s="73">
        <v>11</v>
      </c>
      <c r="I15" s="43">
        <v>12</v>
      </c>
      <c r="J15" s="73">
        <v>16</v>
      </c>
      <c r="K15" s="73">
        <v>20</v>
      </c>
      <c r="L15" s="73">
        <v>21</v>
      </c>
      <c r="M15" s="43">
        <v>28</v>
      </c>
      <c r="N15" s="73">
        <v>28</v>
      </c>
      <c r="O15" s="73">
        <v>30</v>
      </c>
      <c r="P15" s="43">
        <v>34</v>
      </c>
      <c r="Q15" s="43">
        <v>40</v>
      </c>
    </row>
    <row r="16" spans="1:17" ht="12.75">
      <c r="A16" s="2">
        <v>13</v>
      </c>
      <c r="B16" s="62">
        <v>215</v>
      </c>
      <c r="C16" s="2" t="s">
        <v>28</v>
      </c>
      <c r="D16" s="2">
        <v>2</v>
      </c>
      <c r="E16" s="3">
        <v>3</v>
      </c>
      <c r="F16" s="3">
        <v>3</v>
      </c>
      <c r="G16" s="3">
        <v>3</v>
      </c>
      <c r="H16" s="3">
        <v>3</v>
      </c>
      <c r="I16" s="2">
        <v>4</v>
      </c>
      <c r="J16" s="3">
        <v>6</v>
      </c>
      <c r="K16" s="3">
        <v>6</v>
      </c>
      <c r="L16" s="3">
        <v>6</v>
      </c>
      <c r="M16" s="2">
        <v>7</v>
      </c>
      <c r="N16" s="3">
        <v>7</v>
      </c>
      <c r="O16" s="3">
        <v>7</v>
      </c>
      <c r="P16" s="2">
        <v>7</v>
      </c>
      <c r="Q16" s="2">
        <v>8</v>
      </c>
    </row>
    <row r="17" spans="1:17" ht="12.75">
      <c r="A17" s="2">
        <v>14</v>
      </c>
      <c r="B17" s="62">
        <v>216</v>
      </c>
      <c r="C17" s="2" t="s">
        <v>33</v>
      </c>
      <c r="D17" s="2">
        <v>0</v>
      </c>
      <c r="E17" s="3">
        <v>0</v>
      </c>
      <c r="F17" s="3">
        <v>1</v>
      </c>
      <c r="G17" s="3">
        <v>3</v>
      </c>
      <c r="H17" s="3">
        <v>3</v>
      </c>
      <c r="I17" s="2">
        <v>3</v>
      </c>
      <c r="J17" s="3">
        <v>3</v>
      </c>
      <c r="K17" s="3">
        <v>3</v>
      </c>
      <c r="L17" s="3">
        <v>3</v>
      </c>
      <c r="M17" s="2">
        <v>5</v>
      </c>
      <c r="N17" s="3">
        <v>5</v>
      </c>
      <c r="O17" s="3">
        <v>5</v>
      </c>
      <c r="P17" s="2">
        <v>5</v>
      </c>
      <c r="Q17" s="2">
        <v>5</v>
      </c>
    </row>
    <row r="18" spans="1:17" ht="12.75">
      <c r="A18" s="2">
        <v>15</v>
      </c>
      <c r="B18" s="62">
        <v>225</v>
      </c>
      <c r="C18" s="2" t="s">
        <v>27</v>
      </c>
      <c r="D18" s="2">
        <v>2</v>
      </c>
      <c r="E18" s="3">
        <v>2</v>
      </c>
      <c r="F18" s="3">
        <v>4</v>
      </c>
      <c r="G18" s="3">
        <v>4</v>
      </c>
      <c r="H18" s="3">
        <v>6</v>
      </c>
      <c r="I18" s="2">
        <v>6</v>
      </c>
      <c r="J18" s="3">
        <v>6</v>
      </c>
      <c r="K18" s="3">
        <v>10</v>
      </c>
      <c r="L18" s="3">
        <v>10</v>
      </c>
      <c r="M18" s="2">
        <v>10</v>
      </c>
      <c r="N18" s="3">
        <v>12</v>
      </c>
      <c r="O18" s="3">
        <v>13</v>
      </c>
      <c r="P18" s="2">
        <v>15</v>
      </c>
      <c r="Q18" s="2">
        <v>16</v>
      </c>
    </row>
    <row r="19" spans="1:17" ht="12.75">
      <c r="A19" s="2">
        <v>16</v>
      </c>
      <c r="B19" s="62">
        <v>226</v>
      </c>
      <c r="C19" s="2" t="s">
        <v>31</v>
      </c>
      <c r="D19" s="2">
        <v>5</v>
      </c>
      <c r="E19" s="3">
        <v>5</v>
      </c>
      <c r="F19" s="3">
        <v>7</v>
      </c>
      <c r="G19" s="3">
        <v>8</v>
      </c>
      <c r="H19" s="3">
        <v>9</v>
      </c>
      <c r="I19" s="2">
        <v>9</v>
      </c>
      <c r="J19" s="3">
        <v>9</v>
      </c>
      <c r="K19" s="3">
        <v>10</v>
      </c>
      <c r="L19" s="3">
        <v>10</v>
      </c>
      <c r="M19" s="2">
        <v>11</v>
      </c>
      <c r="N19" s="3">
        <v>13</v>
      </c>
      <c r="O19" s="3">
        <v>13</v>
      </c>
      <c r="P19" s="2">
        <v>14</v>
      </c>
      <c r="Q19" s="2">
        <v>14</v>
      </c>
    </row>
    <row r="20" spans="1:17" ht="12.75">
      <c r="A20" s="2">
        <v>17</v>
      </c>
      <c r="B20" s="62">
        <v>235</v>
      </c>
      <c r="C20" s="2" t="s">
        <v>32</v>
      </c>
      <c r="D20" s="2">
        <v>2</v>
      </c>
      <c r="E20" s="3">
        <v>2</v>
      </c>
      <c r="F20" s="3">
        <v>1</v>
      </c>
      <c r="G20" s="3">
        <v>1</v>
      </c>
      <c r="H20" s="3">
        <v>1</v>
      </c>
      <c r="I20" s="2">
        <v>2</v>
      </c>
      <c r="J20" s="3">
        <v>3</v>
      </c>
      <c r="K20" s="3">
        <v>7</v>
      </c>
      <c r="L20" s="3">
        <v>7</v>
      </c>
      <c r="M20" s="2">
        <v>9</v>
      </c>
      <c r="N20" s="3">
        <v>9</v>
      </c>
      <c r="O20" s="3">
        <v>9</v>
      </c>
      <c r="P20" s="2">
        <v>9</v>
      </c>
      <c r="Q20" s="2">
        <v>9</v>
      </c>
    </row>
    <row r="21" spans="1:17" ht="12.75">
      <c r="A21" s="2">
        <v>18</v>
      </c>
      <c r="B21" s="62">
        <v>236</v>
      </c>
      <c r="C21" s="2" t="s">
        <v>30</v>
      </c>
      <c r="D21" s="2">
        <v>2</v>
      </c>
      <c r="E21" s="3">
        <v>2</v>
      </c>
      <c r="F21" s="3">
        <v>3</v>
      </c>
      <c r="G21" s="3">
        <v>6</v>
      </c>
      <c r="H21" s="3">
        <v>6</v>
      </c>
      <c r="I21" s="2">
        <v>6</v>
      </c>
      <c r="J21" s="3">
        <v>7</v>
      </c>
      <c r="K21" s="3">
        <v>7</v>
      </c>
      <c r="L21" s="3">
        <v>7</v>
      </c>
      <c r="M21" s="2">
        <v>6</v>
      </c>
      <c r="N21" s="3">
        <v>6</v>
      </c>
      <c r="O21" s="3">
        <v>6</v>
      </c>
      <c r="P21" s="2">
        <v>6</v>
      </c>
      <c r="Q21" s="2">
        <v>6</v>
      </c>
    </row>
    <row r="22" spans="1:17" ht="12.75">
      <c r="A22" s="2">
        <v>19</v>
      </c>
      <c r="B22" s="67">
        <v>237</v>
      </c>
      <c r="C22" s="43" t="s">
        <v>29</v>
      </c>
      <c r="D22" s="43">
        <v>3</v>
      </c>
      <c r="E22" s="73">
        <v>5</v>
      </c>
      <c r="F22" s="73">
        <v>5</v>
      </c>
      <c r="G22" s="73">
        <v>9</v>
      </c>
      <c r="H22" s="73">
        <v>10</v>
      </c>
      <c r="I22" s="43">
        <v>11</v>
      </c>
      <c r="J22" s="73">
        <v>11</v>
      </c>
      <c r="K22" s="73">
        <v>12</v>
      </c>
      <c r="L22" s="73">
        <v>13</v>
      </c>
      <c r="M22" s="43">
        <v>14</v>
      </c>
      <c r="N22" s="73">
        <v>14</v>
      </c>
      <c r="O22" s="73">
        <v>14</v>
      </c>
      <c r="P22" s="43">
        <v>16</v>
      </c>
      <c r="Q22" s="43">
        <v>17</v>
      </c>
    </row>
    <row r="23" spans="1:17" ht="12.75">
      <c r="A23" s="2">
        <v>20</v>
      </c>
      <c r="B23" s="62">
        <v>315</v>
      </c>
      <c r="C23" s="2" t="s">
        <v>2</v>
      </c>
      <c r="D23" s="2">
        <v>7</v>
      </c>
      <c r="E23" s="3">
        <v>9</v>
      </c>
      <c r="F23" s="3">
        <v>10</v>
      </c>
      <c r="G23" s="3">
        <v>10</v>
      </c>
      <c r="H23" s="3">
        <v>10</v>
      </c>
      <c r="I23" s="2">
        <v>10</v>
      </c>
      <c r="J23" s="3">
        <v>10</v>
      </c>
      <c r="K23" s="3">
        <v>10</v>
      </c>
      <c r="L23" s="3">
        <v>9</v>
      </c>
      <c r="M23" s="2">
        <v>10</v>
      </c>
      <c r="N23" s="3">
        <v>10</v>
      </c>
      <c r="O23" s="3">
        <v>10</v>
      </c>
      <c r="P23" s="2">
        <v>10</v>
      </c>
      <c r="Q23" s="2">
        <v>10</v>
      </c>
    </row>
    <row r="24" spans="1:17" s="3" customFormat="1" ht="12.75">
      <c r="A24" s="2">
        <v>21</v>
      </c>
      <c r="B24" s="62">
        <v>316</v>
      </c>
      <c r="C24" s="2" t="s">
        <v>1</v>
      </c>
      <c r="D24" s="2">
        <v>2</v>
      </c>
      <c r="E24" s="3">
        <v>2</v>
      </c>
      <c r="F24" s="3">
        <v>4</v>
      </c>
      <c r="G24" s="3">
        <v>5</v>
      </c>
      <c r="H24" s="3">
        <v>5</v>
      </c>
      <c r="I24" s="2">
        <v>6</v>
      </c>
      <c r="J24" s="3">
        <v>7</v>
      </c>
      <c r="K24" s="3">
        <v>8</v>
      </c>
      <c r="L24" s="3">
        <v>8</v>
      </c>
      <c r="M24" s="3">
        <v>8</v>
      </c>
      <c r="N24" s="3">
        <v>9</v>
      </c>
      <c r="O24" s="3">
        <v>9</v>
      </c>
      <c r="P24" s="3">
        <v>9</v>
      </c>
      <c r="Q24" s="3">
        <v>9</v>
      </c>
    </row>
    <row r="25" spans="1:17" ht="12.75">
      <c r="A25" s="2">
        <v>22</v>
      </c>
      <c r="B25" s="62">
        <v>317</v>
      </c>
      <c r="C25" s="2" t="s">
        <v>3</v>
      </c>
      <c r="D25" s="2">
        <v>1</v>
      </c>
      <c r="E25" s="3">
        <v>5</v>
      </c>
      <c r="F25" s="3">
        <v>9</v>
      </c>
      <c r="G25" s="3">
        <v>9</v>
      </c>
      <c r="H25" s="3">
        <v>9</v>
      </c>
      <c r="I25" s="2">
        <v>11</v>
      </c>
      <c r="J25" s="3">
        <v>10</v>
      </c>
      <c r="K25" s="3">
        <v>11</v>
      </c>
      <c r="L25" s="3">
        <v>12</v>
      </c>
      <c r="M25" s="2">
        <v>11</v>
      </c>
      <c r="N25" s="3">
        <v>11</v>
      </c>
      <c r="O25" s="3">
        <v>11</v>
      </c>
      <c r="P25" s="2">
        <v>11</v>
      </c>
      <c r="Q25" s="2">
        <v>11</v>
      </c>
    </row>
    <row r="26" spans="1:17" ht="12.75">
      <c r="A26" s="2">
        <v>23</v>
      </c>
      <c r="B26" s="62">
        <v>325</v>
      </c>
      <c r="C26" s="2" t="s">
        <v>4</v>
      </c>
      <c r="D26" s="2">
        <v>5</v>
      </c>
      <c r="E26" s="3">
        <v>11</v>
      </c>
      <c r="F26" s="3">
        <v>15</v>
      </c>
      <c r="G26" s="3">
        <v>21</v>
      </c>
      <c r="H26" s="3">
        <v>21</v>
      </c>
      <c r="I26" s="2">
        <v>22</v>
      </c>
      <c r="J26" s="3">
        <v>24</v>
      </c>
      <c r="K26" s="3">
        <v>26</v>
      </c>
      <c r="L26" s="3">
        <v>28</v>
      </c>
      <c r="M26" s="2">
        <v>28</v>
      </c>
      <c r="N26" s="3">
        <v>28</v>
      </c>
      <c r="O26" s="3">
        <v>28</v>
      </c>
      <c r="P26" s="2">
        <v>28</v>
      </c>
      <c r="Q26" s="2">
        <v>28</v>
      </c>
    </row>
    <row r="27" spans="1:17" ht="12.75">
      <c r="A27" s="2">
        <v>24</v>
      </c>
      <c r="B27" s="62">
        <v>326</v>
      </c>
      <c r="C27" s="2" t="s">
        <v>0</v>
      </c>
      <c r="D27" s="2">
        <v>23</v>
      </c>
      <c r="E27" s="3">
        <v>25</v>
      </c>
      <c r="F27" s="3">
        <v>34</v>
      </c>
      <c r="G27" s="3">
        <v>35</v>
      </c>
      <c r="H27" s="3">
        <v>35</v>
      </c>
      <c r="I27" s="2">
        <v>36</v>
      </c>
      <c r="J27" s="3">
        <v>39</v>
      </c>
      <c r="K27" s="3">
        <v>41</v>
      </c>
      <c r="L27" s="3">
        <v>41</v>
      </c>
      <c r="M27" s="2">
        <v>41</v>
      </c>
      <c r="N27" s="3">
        <v>42</v>
      </c>
      <c r="O27" s="3">
        <v>42</v>
      </c>
      <c r="P27" s="2">
        <v>43</v>
      </c>
      <c r="Q27" s="2">
        <v>43</v>
      </c>
    </row>
    <row r="28" spans="1:17" ht="12.75">
      <c r="A28" s="2">
        <v>25</v>
      </c>
      <c r="B28" s="62">
        <v>327</v>
      </c>
      <c r="C28" s="2" t="s">
        <v>6</v>
      </c>
      <c r="D28" s="2">
        <v>11</v>
      </c>
      <c r="E28" s="3">
        <v>13</v>
      </c>
      <c r="F28" s="3">
        <v>16</v>
      </c>
      <c r="G28" s="3">
        <v>17</v>
      </c>
      <c r="H28" s="3">
        <v>17</v>
      </c>
      <c r="I28" s="2">
        <v>17</v>
      </c>
      <c r="J28" s="3">
        <v>20</v>
      </c>
      <c r="K28" s="3">
        <v>20</v>
      </c>
      <c r="L28" s="3">
        <v>20</v>
      </c>
      <c r="M28" s="2">
        <v>21</v>
      </c>
      <c r="N28" s="3">
        <v>23</v>
      </c>
      <c r="O28" s="3">
        <v>23</v>
      </c>
      <c r="P28" s="2">
        <v>24</v>
      </c>
      <c r="Q28" s="2">
        <v>24</v>
      </c>
    </row>
    <row r="29" spans="1:17" ht="12.75">
      <c r="A29" s="2">
        <v>26</v>
      </c>
      <c r="B29" s="62">
        <v>335</v>
      </c>
      <c r="C29" s="2" t="s">
        <v>5</v>
      </c>
      <c r="D29" s="2">
        <v>15</v>
      </c>
      <c r="E29" s="3">
        <v>21</v>
      </c>
      <c r="F29" s="3">
        <v>25</v>
      </c>
      <c r="G29" s="3">
        <v>28</v>
      </c>
      <c r="H29" s="3">
        <v>28</v>
      </c>
      <c r="I29" s="2">
        <v>29</v>
      </c>
      <c r="J29" s="3">
        <v>32</v>
      </c>
      <c r="K29" s="3">
        <v>32</v>
      </c>
      <c r="L29" s="3">
        <v>34</v>
      </c>
      <c r="M29" s="2">
        <v>34</v>
      </c>
      <c r="N29" s="3">
        <v>37</v>
      </c>
      <c r="O29" s="3">
        <v>37</v>
      </c>
      <c r="P29" s="2">
        <v>37</v>
      </c>
      <c r="Q29" s="2">
        <v>37</v>
      </c>
    </row>
    <row r="30" spans="1:17" ht="12.75">
      <c r="A30" s="2">
        <v>27</v>
      </c>
      <c r="B30" s="62">
        <v>336</v>
      </c>
      <c r="C30" s="2" t="s">
        <v>37</v>
      </c>
      <c r="D30" s="2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1</v>
      </c>
      <c r="M30" s="2">
        <v>1</v>
      </c>
      <c r="N30" s="3">
        <v>1</v>
      </c>
      <c r="O30" s="3">
        <v>1</v>
      </c>
      <c r="P30" s="2">
        <v>1</v>
      </c>
      <c r="Q30" s="2">
        <v>1</v>
      </c>
    </row>
    <row r="31" spans="1:17" ht="12.75">
      <c r="A31" s="2">
        <v>28</v>
      </c>
      <c r="B31" s="67">
        <v>337</v>
      </c>
      <c r="C31" s="43" t="s">
        <v>7</v>
      </c>
      <c r="D31" s="43">
        <v>12</v>
      </c>
      <c r="E31" s="73">
        <v>19</v>
      </c>
      <c r="F31" s="73">
        <v>22</v>
      </c>
      <c r="G31" s="73">
        <v>26</v>
      </c>
      <c r="H31" s="73">
        <v>26</v>
      </c>
      <c r="I31" s="43">
        <v>28</v>
      </c>
      <c r="J31" s="73">
        <v>29</v>
      </c>
      <c r="K31" s="73">
        <v>30</v>
      </c>
      <c r="L31" s="73">
        <v>32</v>
      </c>
      <c r="M31" s="43">
        <v>32</v>
      </c>
      <c r="N31" s="73">
        <v>37</v>
      </c>
      <c r="O31" s="73">
        <v>37</v>
      </c>
      <c r="P31" s="43">
        <v>38</v>
      </c>
      <c r="Q31" s="43">
        <v>38</v>
      </c>
    </row>
    <row r="32" spans="1:17" ht="12.75">
      <c r="A32" s="2">
        <v>29</v>
      </c>
      <c r="B32" s="62">
        <v>415</v>
      </c>
      <c r="C32" s="2" t="s">
        <v>11</v>
      </c>
      <c r="D32" s="2">
        <v>8</v>
      </c>
      <c r="E32" s="3">
        <v>14</v>
      </c>
      <c r="F32" s="3">
        <v>18</v>
      </c>
      <c r="G32" s="3">
        <v>23</v>
      </c>
      <c r="H32" s="3">
        <v>22</v>
      </c>
      <c r="I32" s="2">
        <v>25</v>
      </c>
      <c r="J32" s="3">
        <v>30</v>
      </c>
      <c r="K32" s="3">
        <v>34</v>
      </c>
      <c r="L32" s="3">
        <v>35</v>
      </c>
      <c r="M32" s="2">
        <v>36</v>
      </c>
      <c r="N32" s="3">
        <v>37</v>
      </c>
      <c r="O32" s="3">
        <v>37</v>
      </c>
      <c r="P32" s="2">
        <v>38</v>
      </c>
      <c r="Q32" s="2">
        <v>38</v>
      </c>
    </row>
    <row r="33" spans="1:17" ht="12.75">
      <c r="A33" s="2">
        <v>30</v>
      </c>
      <c r="B33" s="62">
        <v>416</v>
      </c>
      <c r="C33" s="2" t="s">
        <v>13</v>
      </c>
      <c r="D33" s="2">
        <v>5</v>
      </c>
      <c r="E33" s="3">
        <v>7</v>
      </c>
      <c r="F33" s="3">
        <v>10</v>
      </c>
      <c r="G33" s="3">
        <v>11</v>
      </c>
      <c r="H33" s="3">
        <v>10</v>
      </c>
      <c r="I33" s="2">
        <v>10</v>
      </c>
      <c r="J33" s="3">
        <v>13</v>
      </c>
      <c r="K33" s="3">
        <v>15</v>
      </c>
      <c r="L33" s="3">
        <v>16</v>
      </c>
      <c r="M33" s="2">
        <v>16</v>
      </c>
      <c r="N33" s="3">
        <v>17</v>
      </c>
      <c r="O33" s="3">
        <v>17</v>
      </c>
      <c r="P33" s="2">
        <v>17</v>
      </c>
      <c r="Q33" s="2">
        <v>17</v>
      </c>
    </row>
    <row r="34" spans="1:17" ht="12.75">
      <c r="A34" s="2">
        <v>31</v>
      </c>
      <c r="B34" s="62">
        <v>417</v>
      </c>
      <c r="C34" s="2" t="s">
        <v>8</v>
      </c>
      <c r="D34" s="2">
        <v>6</v>
      </c>
      <c r="E34" s="3">
        <v>8</v>
      </c>
      <c r="F34" s="3">
        <v>10</v>
      </c>
      <c r="G34" s="3">
        <v>10</v>
      </c>
      <c r="H34" s="3">
        <v>10</v>
      </c>
      <c r="I34" s="2">
        <v>11</v>
      </c>
      <c r="J34" s="3">
        <v>14</v>
      </c>
      <c r="K34" s="3">
        <v>14</v>
      </c>
      <c r="L34" s="3">
        <v>15</v>
      </c>
      <c r="M34" s="2">
        <v>15</v>
      </c>
      <c r="N34" s="3">
        <v>14</v>
      </c>
      <c r="O34" s="3">
        <v>13</v>
      </c>
      <c r="P34" s="2">
        <v>13</v>
      </c>
      <c r="Q34" s="2">
        <v>13</v>
      </c>
    </row>
    <row r="35" spans="1:17" ht="12.75">
      <c r="A35" s="2">
        <v>32</v>
      </c>
      <c r="B35" s="62">
        <v>425</v>
      </c>
      <c r="C35" s="2" t="s">
        <v>15</v>
      </c>
      <c r="D35" s="2">
        <v>14</v>
      </c>
      <c r="E35" s="3">
        <v>21</v>
      </c>
      <c r="F35" s="3">
        <v>38</v>
      </c>
      <c r="G35" s="3">
        <v>40</v>
      </c>
      <c r="H35" s="3">
        <v>39</v>
      </c>
      <c r="I35" s="2">
        <v>50</v>
      </c>
      <c r="J35" s="3">
        <v>65</v>
      </c>
      <c r="K35" s="3">
        <v>73</v>
      </c>
      <c r="L35" s="3">
        <v>74</v>
      </c>
      <c r="M35" s="2">
        <v>75</v>
      </c>
      <c r="N35" s="3">
        <v>76</v>
      </c>
      <c r="O35" s="3">
        <v>76</v>
      </c>
      <c r="P35" s="2">
        <v>78</v>
      </c>
      <c r="Q35" s="2">
        <v>82</v>
      </c>
    </row>
    <row r="36" spans="1:17" ht="12.75">
      <c r="A36" s="2">
        <v>33</v>
      </c>
      <c r="B36" s="62">
        <v>426</v>
      </c>
      <c r="C36" s="2" t="s">
        <v>9</v>
      </c>
      <c r="D36" s="2">
        <v>27</v>
      </c>
      <c r="E36" s="3">
        <v>45</v>
      </c>
      <c r="F36" s="3">
        <v>55</v>
      </c>
      <c r="G36" s="3">
        <v>61</v>
      </c>
      <c r="H36" s="3">
        <v>64</v>
      </c>
      <c r="I36" s="2">
        <v>65</v>
      </c>
      <c r="J36" s="3">
        <v>74</v>
      </c>
      <c r="K36" s="3">
        <v>78</v>
      </c>
      <c r="L36" s="3">
        <v>85</v>
      </c>
      <c r="M36" s="2">
        <v>88</v>
      </c>
      <c r="N36" s="3">
        <v>91</v>
      </c>
      <c r="O36" s="3">
        <v>93</v>
      </c>
      <c r="P36" s="2">
        <v>95</v>
      </c>
      <c r="Q36" s="2">
        <v>98</v>
      </c>
    </row>
    <row r="37" spans="1:17" ht="12.75">
      <c r="A37" s="2">
        <v>34</v>
      </c>
      <c r="B37" s="62">
        <v>435</v>
      </c>
      <c r="C37" s="2" t="s">
        <v>10</v>
      </c>
      <c r="D37" s="2">
        <v>8</v>
      </c>
      <c r="E37" s="3">
        <v>12</v>
      </c>
      <c r="F37" s="3">
        <v>12</v>
      </c>
      <c r="G37" s="3">
        <v>12</v>
      </c>
      <c r="H37" s="3">
        <v>12</v>
      </c>
      <c r="I37" s="2">
        <v>14</v>
      </c>
      <c r="J37" s="3">
        <v>14</v>
      </c>
      <c r="K37" s="3">
        <v>17</v>
      </c>
      <c r="L37" s="3">
        <v>17</v>
      </c>
      <c r="M37" s="2">
        <v>16</v>
      </c>
      <c r="N37" s="3">
        <v>16</v>
      </c>
      <c r="O37" s="3">
        <v>16</v>
      </c>
      <c r="P37" s="2">
        <v>16</v>
      </c>
      <c r="Q37" s="2">
        <v>16</v>
      </c>
    </row>
    <row r="38" spans="1:17" ht="12.75">
      <c r="A38" s="2">
        <v>35</v>
      </c>
      <c r="B38" s="62">
        <v>436</v>
      </c>
      <c r="C38" s="2" t="s">
        <v>12</v>
      </c>
      <c r="D38" s="2">
        <v>47</v>
      </c>
      <c r="E38" s="3">
        <v>63</v>
      </c>
      <c r="F38" s="3">
        <v>70</v>
      </c>
      <c r="G38" s="3">
        <v>71</v>
      </c>
      <c r="H38" s="3">
        <v>72</v>
      </c>
      <c r="I38" s="2">
        <v>78</v>
      </c>
      <c r="J38" s="3">
        <v>88</v>
      </c>
      <c r="K38" s="3">
        <v>98</v>
      </c>
      <c r="L38" s="3">
        <v>100</v>
      </c>
      <c r="M38" s="2">
        <v>102</v>
      </c>
      <c r="N38" s="3">
        <v>108</v>
      </c>
      <c r="O38" s="3">
        <v>107</v>
      </c>
      <c r="P38" s="2">
        <v>108</v>
      </c>
      <c r="Q38" s="2">
        <v>108</v>
      </c>
    </row>
    <row r="39" spans="1:17" ht="12.75">
      <c r="A39" s="2">
        <v>36</v>
      </c>
      <c r="B39" s="67">
        <v>437</v>
      </c>
      <c r="C39" s="43" t="s">
        <v>14</v>
      </c>
      <c r="D39" s="43">
        <v>13</v>
      </c>
      <c r="E39" s="73">
        <v>22</v>
      </c>
      <c r="F39" s="73">
        <v>29</v>
      </c>
      <c r="G39" s="73">
        <v>30</v>
      </c>
      <c r="H39" s="73">
        <v>31</v>
      </c>
      <c r="I39" s="43">
        <v>36</v>
      </c>
      <c r="J39" s="73">
        <v>42</v>
      </c>
      <c r="K39" s="73">
        <v>48</v>
      </c>
      <c r="L39" s="73">
        <v>48</v>
      </c>
      <c r="M39" s="43">
        <v>49</v>
      </c>
      <c r="N39" s="73">
        <v>49</v>
      </c>
      <c r="O39" s="73">
        <v>49</v>
      </c>
      <c r="P39" s="43">
        <v>52</v>
      </c>
      <c r="Q39" s="43">
        <v>53</v>
      </c>
    </row>
    <row r="40" spans="1:17" ht="12.75">
      <c r="A40" s="2">
        <v>37</v>
      </c>
      <c r="B40" s="62">
        <v>199</v>
      </c>
      <c r="C40" s="3" t="s">
        <v>50</v>
      </c>
      <c r="D40" s="2">
        <f>SUM(D4:D15)</f>
        <v>63</v>
      </c>
      <c r="E40" s="3">
        <f aca="true" t="shared" si="0" ref="E40:K40">SUM(E4:E15)</f>
        <v>78</v>
      </c>
      <c r="F40" s="2">
        <f t="shared" si="0"/>
        <v>84</v>
      </c>
      <c r="G40" s="3">
        <f t="shared" si="0"/>
        <v>103</v>
      </c>
      <c r="H40" s="2">
        <f t="shared" si="0"/>
        <v>109</v>
      </c>
      <c r="I40" s="2">
        <f t="shared" si="0"/>
        <v>123</v>
      </c>
      <c r="J40" s="2">
        <f t="shared" si="0"/>
        <v>153</v>
      </c>
      <c r="K40" s="2">
        <f t="shared" si="0"/>
        <v>185</v>
      </c>
      <c r="L40" s="2">
        <f>SUM(L4:L15)</f>
        <v>191</v>
      </c>
      <c r="M40" s="32">
        <f>SUM(M4:M15)</f>
        <v>213</v>
      </c>
      <c r="N40" s="32">
        <f>SUM(N4:N15)</f>
        <v>221</v>
      </c>
      <c r="O40" s="32">
        <f>SUM(O4:O15)</f>
        <v>225</v>
      </c>
      <c r="P40" s="32">
        <f>SUM(P4:P15)</f>
        <v>238</v>
      </c>
      <c r="Q40" s="32">
        <f>SUM(Q4:Q15)</f>
        <v>249</v>
      </c>
    </row>
    <row r="41" spans="1:17" ht="12.75">
      <c r="A41" s="2">
        <v>38</v>
      </c>
      <c r="B41" s="62">
        <v>299</v>
      </c>
      <c r="C41" s="3" t="s">
        <v>51</v>
      </c>
      <c r="D41" s="2">
        <f>SUM(D16:D22)</f>
        <v>16</v>
      </c>
      <c r="E41" s="3">
        <f aca="true" t="shared" si="1" ref="E41:K41">SUM(E16:E22)</f>
        <v>19</v>
      </c>
      <c r="F41" s="2">
        <f t="shared" si="1"/>
        <v>24</v>
      </c>
      <c r="G41" s="3">
        <f t="shared" si="1"/>
        <v>34</v>
      </c>
      <c r="H41" s="2">
        <f t="shared" si="1"/>
        <v>38</v>
      </c>
      <c r="I41" s="2">
        <f t="shared" si="1"/>
        <v>41</v>
      </c>
      <c r="J41" s="2">
        <f t="shared" si="1"/>
        <v>45</v>
      </c>
      <c r="K41" s="2">
        <f t="shared" si="1"/>
        <v>55</v>
      </c>
      <c r="L41" s="2">
        <f>SUM(L16:L22)</f>
        <v>56</v>
      </c>
      <c r="M41" s="32">
        <f>SUM(M16:M22)</f>
        <v>62</v>
      </c>
      <c r="N41" s="32">
        <f>SUM(N16:N22)</f>
        <v>66</v>
      </c>
      <c r="O41" s="32">
        <f>SUM(O16:O22)</f>
        <v>67</v>
      </c>
      <c r="P41" s="32">
        <f>SUM(P16:P22)</f>
        <v>72</v>
      </c>
      <c r="Q41" s="32">
        <f>SUM(Q16:Q22)</f>
        <v>75</v>
      </c>
    </row>
    <row r="42" spans="1:17" ht="12.75">
      <c r="A42" s="2">
        <v>39</v>
      </c>
      <c r="B42" s="62">
        <v>399</v>
      </c>
      <c r="C42" s="3" t="s">
        <v>52</v>
      </c>
      <c r="D42" s="2">
        <f>SUM(D23:D31)</f>
        <v>76</v>
      </c>
      <c r="E42" s="3">
        <f aca="true" t="shared" si="2" ref="E42:K42">SUM(E23:E31)</f>
        <v>105</v>
      </c>
      <c r="F42" s="2">
        <f t="shared" si="2"/>
        <v>135</v>
      </c>
      <c r="G42" s="3">
        <f t="shared" si="2"/>
        <v>151</v>
      </c>
      <c r="H42" s="2">
        <f t="shared" si="2"/>
        <v>151</v>
      </c>
      <c r="I42" s="2">
        <f t="shared" si="2"/>
        <v>159</v>
      </c>
      <c r="J42" s="2">
        <f t="shared" si="2"/>
        <v>171</v>
      </c>
      <c r="K42" s="2">
        <f t="shared" si="2"/>
        <v>179</v>
      </c>
      <c r="L42" s="2">
        <f>SUM(L23:L31)</f>
        <v>185</v>
      </c>
      <c r="M42" s="32">
        <f>SUM(M23:M31)</f>
        <v>186</v>
      </c>
      <c r="N42" s="32">
        <f>SUM(N23:N31)</f>
        <v>198</v>
      </c>
      <c r="O42" s="32">
        <f>SUM(O23:O31)</f>
        <v>198</v>
      </c>
      <c r="P42" s="32">
        <f>SUM(P23:P31)</f>
        <v>201</v>
      </c>
      <c r="Q42" s="32">
        <f>SUM(Q23:Q31)</f>
        <v>201</v>
      </c>
    </row>
    <row r="43" spans="1:17" ht="12.75">
      <c r="A43" s="2">
        <v>40</v>
      </c>
      <c r="B43" s="62">
        <v>499</v>
      </c>
      <c r="C43" s="3" t="s">
        <v>53</v>
      </c>
      <c r="D43" s="2">
        <f>SUM(D32:D39)</f>
        <v>128</v>
      </c>
      <c r="E43" s="3">
        <f aca="true" t="shared" si="3" ref="E43:K43">SUM(E32:E39)</f>
        <v>192</v>
      </c>
      <c r="F43" s="2">
        <f t="shared" si="3"/>
        <v>242</v>
      </c>
      <c r="G43" s="3">
        <f t="shared" si="3"/>
        <v>258</v>
      </c>
      <c r="H43" s="2">
        <f t="shared" si="3"/>
        <v>260</v>
      </c>
      <c r="I43" s="2">
        <f t="shared" si="3"/>
        <v>289</v>
      </c>
      <c r="J43" s="2">
        <f t="shared" si="3"/>
        <v>340</v>
      </c>
      <c r="K43" s="2">
        <f t="shared" si="3"/>
        <v>377</v>
      </c>
      <c r="L43" s="2">
        <f>SUM(L32:L39)</f>
        <v>390</v>
      </c>
      <c r="M43" s="32">
        <f>SUM(M32:M39)</f>
        <v>397</v>
      </c>
      <c r="N43" s="32">
        <f>SUM(N32:N39)</f>
        <v>408</v>
      </c>
      <c r="O43" s="32">
        <f>SUM(O32:O39)</f>
        <v>408</v>
      </c>
      <c r="P43" s="32">
        <f>SUM(P32:P39)</f>
        <v>417</v>
      </c>
      <c r="Q43" s="32">
        <f>SUM(Q32:Q39)</f>
        <v>425</v>
      </c>
    </row>
    <row r="44" spans="1:17" ht="13.5" thickBot="1">
      <c r="A44" s="2">
        <v>41</v>
      </c>
      <c r="B44" s="64">
        <v>999</v>
      </c>
      <c r="C44" s="40" t="s">
        <v>34</v>
      </c>
      <c r="D44" s="40">
        <f aca="true" t="shared" si="4" ref="D44:K44">SUM(D4:D39)</f>
        <v>283</v>
      </c>
      <c r="E44" s="52">
        <f>SUM(E4:E39)</f>
        <v>394</v>
      </c>
      <c r="F44" s="40">
        <f t="shared" si="4"/>
        <v>485</v>
      </c>
      <c r="G44" s="52">
        <f t="shared" si="4"/>
        <v>546</v>
      </c>
      <c r="H44" s="40">
        <f t="shared" si="4"/>
        <v>558</v>
      </c>
      <c r="I44" s="40">
        <f>SUM(I4:I39)</f>
        <v>612</v>
      </c>
      <c r="J44" s="40">
        <f t="shared" si="4"/>
        <v>709</v>
      </c>
      <c r="K44" s="40">
        <f t="shared" si="4"/>
        <v>796</v>
      </c>
      <c r="L44" s="40">
        <f>SUM(L4:L39)</f>
        <v>822</v>
      </c>
      <c r="M44" s="53">
        <f>SUM(M4:M39)</f>
        <v>858</v>
      </c>
      <c r="N44" s="53">
        <f>SUM(N4:N39)</f>
        <v>893</v>
      </c>
      <c r="O44" s="53">
        <f>SUM(O4:O39)</f>
        <v>898</v>
      </c>
      <c r="P44" s="53">
        <f>SUM(P4:P39)</f>
        <v>928</v>
      </c>
      <c r="Q44" s="53">
        <f>SUM(Q4:Q39)</f>
        <v>950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38717</v>
      </c>
      <c r="F46" s="35"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v>41639</v>
      </c>
      <c r="N46" s="35">
        <v>42004</v>
      </c>
      <c r="O46" s="35"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57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 thickBot="1"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65">
        <v>65</v>
      </c>
      <c r="E4" s="54">
        <v>65</v>
      </c>
      <c r="F4" s="55">
        <v>130</v>
      </c>
      <c r="G4" s="55">
        <v>130</v>
      </c>
      <c r="H4" s="54">
        <v>130</v>
      </c>
      <c r="I4" s="54">
        <v>130</v>
      </c>
      <c r="J4" s="54">
        <v>130</v>
      </c>
      <c r="K4" s="54">
        <v>130</v>
      </c>
      <c r="L4" s="55">
        <v>130</v>
      </c>
      <c r="M4" s="56">
        <v>130</v>
      </c>
      <c r="N4" s="55">
        <v>130</v>
      </c>
      <c r="O4" s="55">
        <v>130</v>
      </c>
      <c r="P4" s="55">
        <v>130</v>
      </c>
      <c r="Q4" s="55">
        <v>130</v>
      </c>
    </row>
    <row r="5" spans="1:17" ht="12.75">
      <c r="A5" s="2">
        <v>2</v>
      </c>
      <c r="B5" s="62">
        <v>115</v>
      </c>
      <c r="C5" s="2" t="s">
        <v>21</v>
      </c>
      <c r="D5" s="65">
        <v>110</v>
      </c>
      <c r="E5" s="54">
        <v>360</v>
      </c>
      <c r="F5" s="55">
        <v>360</v>
      </c>
      <c r="G5" s="55">
        <v>1430</v>
      </c>
      <c r="H5" s="54">
        <v>1430</v>
      </c>
      <c r="I5" s="54">
        <v>1512</v>
      </c>
      <c r="J5" s="54">
        <v>1512</v>
      </c>
      <c r="K5" s="54">
        <v>2002</v>
      </c>
      <c r="L5" s="55">
        <v>2002</v>
      </c>
      <c r="M5" s="56">
        <v>4372</v>
      </c>
      <c r="N5" s="55">
        <v>4372</v>
      </c>
      <c r="O5" s="55">
        <v>4372</v>
      </c>
      <c r="P5" s="55">
        <v>4372</v>
      </c>
      <c r="Q5" s="55">
        <v>4372</v>
      </c>
    </row>
    <row r="6" spans="1:17" ht="12.75">
      <c r="A6" s="2">
        <v>3</v>
      </c>
      <c r="B6" s="62">
        <v>116</v>
      </c>
      <c r="C6" s="2" t="s">
        <v>25</v>
      </c>
      <c r="D6" s="65">
        <v>155</v>
      </c>
      <c r="E6" s="54">
        <v>265</v>
      </c>
      <c r="F6" s="55">
        <v>445</v>
      </c>
      <c r="G6" s="55">
        <v>445</v>
      </c>
      <c r="H6" s="54">
        <v>905</v>
      </c>
      <c r="I6" s="54">
        <v>960</v>
      </c>
      <c r="J6" s="55">
        <v>1300</v>
      </c>
      <c r="K6" s="55">
        <v>1730</v>
      </c>
      <c r="L6" s="55">
        <v>1770</v>
      </c>
      <c r="M6" s="56">
        <v>1770</v>
      </c>
      <c r="N6" s="55">
        <v>2170</v>
      </c>
      <c r="O6" s="55">
        <v>2170</v>
      </c>
      <c r="P6" s="55">
        <v>2170</v>
      </c>
      <c r="Q6" s="55">
        <v>2170</v>
      </c>
    </row>
    <row r="7" spans="1:17" ht="12.75">
      <c r="A7" s="2">
        <v>4</v>
      </c>
      <c r="B7" s="62">
        <v>117</v>
      </c>
      <c r="C7" s="2" t="s">
        <v>18</v>
      </c>
      <c r="D7" s="57">
        <v>250</v>
      </c>
      <c r="E7" s="54">
        <v>425</v>
      </c>
      <c r="F7" s="55">
        <v>425</v>
      </c>
      <c r="G7" s="55">
        <v>1775</v>
      </c>
      <c r="H7" s="55">
        <v>1970</v>
      </c>
      <c r="I7" s="54">
        <v>1818</v>
      </c>
      <c r="J7" s="55">
        <v>2618</v>
      </c>
      <c r="K7" s="55">
        <v>3730</v>
      </c>
      <c r="L7" s="55">
        <v>3730</v>
      </c>
      <c r="M7" s="56">
        <v>5596</v>
      </c>
      <c r="N7" s="55">
        <v>5746</v>
      </c>
      <c r="O7" s="55">
        <v>5746</v>
      </c>
      <c r="P7" s="55">
        <f>5746+75</f>
        <v>5821</v>
      </c>
      <c r="Q7" s="55">
        <v>5896</v>
      </c>
    </row>
    <row r="8" spans="1:17" ht="12.75">
      <c r="A8" s="2">
        <v>5</v>
      </c>
      <c r="B8" s="62">
        <v>118</v>
      </c>
      <c r="C8" s="2" t="s">
        <v>24</v>
      </c>
      <c r="D8" s="57">
        <v>0</v>
      </c>
      <c r="E8" s="55">
        <v>0</v>
      </c>
      <c r="F8" s="55">
        <v>1280</v>
      </c>
      <c r="G8" s="55">
        <v>3495</v>
      </c>
      <c r="H8" s="55">
        <v>4365</v>
      </c>
      <c r="I8" s="54">
        <v>4417</v>
      </c>
      <c r="J8" s="55">
        <v>5117</v>
      </c>
      <c r="K8" s="55">
        <v>8127</v>
      </c>
      <c r="L8" s="55">
        <v>8271</v>
      </c>
      <c r="M8" s="56">
        <v>8911</v>
      </c>
      <c r="N8" s="55">
        <v>9652</v>
      </c>
      <c r="O8" s="55">
        <v>9652</v>
      </c>
      <c r="P8" s="55">
        <f>9652+75</f>
        <v>9727</v>
      </c>
      <c r="Q8" s="55">
        <v>9802</v>
      </c>
    </row>
    <row r="9" spans="1:17" ht="12.75">
      <c r="A9" s="2">
        <v>6</v>
      </c>
      <c r="B9" s="62">
        <v>119</v>
      </c>
      <c r="C9" s="2" t="s">
        <v>16</v>
      </c>
      <c r="D9" s="57">
        <v>200</v>
      </c>
      <c r="E9" s="54">
        <v>200</v>
      </c>
      <c r="F9" s="55">
        <v>200</v>
      </c>
      <c r="G9" s="55">
        <v>450</v>
      </c>
      <c r="H9" s="55">
        <v>450</v>
      </c>
      <c r="I9" s="54">
        <v>1180</v>
      </c>
      <c r="J9" s="55">
        <v>2120</v>
      </c>
      <c r="K9" s="55">
        <v>3680</v>
      </c>
      <c r="L9" s="55">
        <v>3755</v>
      </c>
      <c r="M9" s="56">
        <v>5355</v>
      </c>
      <c r="N9" s="55">
        <v>5430</v>
      </c>
      <c r="O9" s="55">
        <v>5430</v>
      </c>
      <c r="P9" s="55">
        <v>5430</v>
      </c>
      <c r="Q9" s="55">
        <v>5430</v>
      </c>
    </row>
    <row r="10" spans="1:17" ht="12.75">
      <c r="A10" s="2">
        <v>7</v>
      </c>
      <c r="B10" s="62">
        <v>125</v>
      </c>
      <c r="C10" s="2" t="s">
        <v>20</v>
      </c>
      <c r="D10" s="57">
        <v>190</v>
      </c>
      <c r="E10" s="54">
        <v>360</v>
      </c>
      <c r="F10" s="55">
        <v>360</v>
      </c>
      <c r="G10" s="55">
        <v>880</v>
      </c>
      <c r="H10" s="55">
        <v>2410</v>
      </c>
      <c r="I10" s="54">
        <v>2271</v>
      </c>
      <c r="J10" s="55">
        <v>2511</v>
      </c>
      <c r="K10" s="55">
        <v>4575</v>
      </c>
      <c r="L10" s="55">
        <v>4575</v>
      </c>
      <c r="M10" s="56">
        <v>5155</v>
      </c>
      <c r="N10" s="55">
        <v>7999</v>
      </c>
      <c r="O10" s="55">
        <v>7999</v>
      </c>
      <c r="P10" s="55">
        <f>7999+75</f>
        <v>8074</v>
      </c>
      <c r="Q10" s="55">
        <v>7999</v>
      </c>
    </row>
    <row r="11" spans="1:17" ht="12.75">
      <c r="A11" s="2">
        <v>8</v>
      </c>
      <c r="B11" s="62">
        <v>126</v>
      </c>
      <c r="C11" s="2" t="s">
        <v>26</v>
      </c>
      <c r="D11" s="57">
        <v>1005</v>
      </c>
      <c r="E11" s="54">
        <v>1205</v>
      </c>
      <c r="F11" s="55">
        <v>1205</v>
      </c>
      <c r="G11" s="55">
        <v>1385</v>
      </c>
      <c r="H11" s="55">
        <v>1945</v>
      </c>
      <c r="I11" s="54">
        <v>2680</v>
      </c>
      <c r="J11" s="55">
        <v>3410</v>
      </c>
      <c r="K11" s="55">
        <v>5705</v>
      </c>
      <c r="L11" s="55">
        <v>5895</v>
      </c>
      <c r="M11" s="56">
        <v>6425</v>
      </c>
      <c r="N11" s="55">
        <v>6362</v>
      </c>
      <c r="O11" s="55">
        <v>6472</v>
      </c>
      <c r="P11" s="55">
        <f>6472+75</f>
        <v>6547</v>
      </c>
      <c r="Q11" s="55">
        <v>6382</v>
      </c>
    </row>
    <row r="12" spans="1:17" ht="12.75">
      <c r="A12" s="2">
        <v>9</v>
      </c>
      <c r="B12" s="62">
        <v>127</v>
      </c>
      <c r="C12" s="2" t="s">
        <v>22</v>
      </c>
      <c r="D12" s="57">
        <v>1805</v>
      </c>
      <c r="E12" s="54">
        <v>2715</v>
      </c>
      <c r="F12" s="55">
        <v>3920</v>
      </c>
      <c r="G12" s="55">
        <v>5380</v>
      </c>
      <c r="H12" s="55">
        <v>5840</v>
      </c>
      <c r="I12" s="54">
        <v>7566</v>
      </c>
      <c r="J12" s="55">
        <v>10880</v>
      </c>
      <c r="K12" s="55">
        <v>14372</v>
      </c>
      <c r="L12" s="55">
        <v>14608</v>
      </c>
      <c r="M12" s="56">
        <v>15628</v>
      </c>
      <c r="N12" s="55">
        <v>17010</v>
      </c>
      <c r="O12" s="55">
        <v>17240</v>
      </c>
      <c r="P12" s="55">
        <v>17390</v>
      </c>
      <c r="Q12" s="55">
        <v>18645</v>
      </c>
    </row>
    <row r="13" spans="1:17" ht="12.75">
      <c r="A13" s="2">
        <v>10</v>
      </c>
      <c r="B13" s="63">
        <v>128</v>
      </c>
      <c r="C13" s="3" t="s">
        <v>38</v>
      </c>
      <c r="D13" s="57">
        <v>460</v>
      </c>
      <c r="E13" s="54">
        <v>820</v>
      </c>
      <c r="F13" s="55">
        <v>1350</v>
      </c>
      <c r="G13" s="55">
        <v>2220</v>
      </c>
      <c r="H13" s="55">
        <v>1720</v>
      </c>
      <c r="I13" s="54">
        <v>2014</v>
      </c>
      <c r="J13" s="55">
        <v>2514</v>
      </c>
      <c r="K13" s="55">
        <v>4200</v>
      </c>
      <c r="L13" s="55">
        <v>4200</v>
      </c>
      <c r="M13" s="56">
        <v>4025</v>
      </c>
      <c r="N13" s="55">
        <v>6206</v>
      </c>
      <c r="O13" s="55">
        <v>6256</v>
      </c>
      <c r="P13" s="55">
        <v>6286</v>
      </c>
      <c r="Q13" s="55">
        <v>6331</v>
      </c>
    </row>
    <row r="14" spans="1:17" ht="12.75">
      <c r="A14" s="2">
        <v>11</v>
      </c>
      <c r="B14" s="62">
        <v>135</v>
      </c>
      <c r="C14" s="2" t="s">
        <v>19</v>
      </c>
      <c r="D14" s="57">
        <v>840</v>
      </c>
      <c r="E14" s="54">
        <v>1480</v>
      </c>
      <c r="F14" s="55">
        <v>1905</v>
      </c>
      <c r="G14" s="55">
        <v>1905</v>
      </c>
      <c r="H14" s="55">
        <v>1965</v>
      </c>
      <c r="I14" s="54">
        <v>3164</v>
      </c>
      <c r="J14" s="55">
        <v>3256</v>
      </c>
      <c r="K14" s="55">
        <v>5216</v>
      </c>
      <c r="L14" s="55">
        <v>5406</v>
      </c>
      <c r="M14" s="56">
        <v>6386</v>
      </c>
      <c r="N14" s="55">
        <v>7187</v>
      </c>
      <c r="O14" s="55">
        <v>7372</v>
      </c>
      <c r="P14" s="55">
        <f>7372+115</f>
        <v>7487</v>
      </c>
      <c r="Q14" s="55">
        <v>8336</v>
      </c>
    </row>
    <row r="15" spans="1:17" ht="12.75">
      <c r="A15" s="2">
        <v>12</v>
      </c>
      <c r="B15" s="67">
        <v>136</v>
      </c>
      <c r="C15" s="43" t="s">
        <v>17</v>
      </c>
      <c r="D15" s="68">
        <v>810</v>
      </c>
      <c r="E15" s="69">
        <v>1310</v>
      </c>
      <c r="F15" s="70">
        <v>2440</v>
      </c>
      <c r="G15" s="70">
        <v>2670</v>
      </c>
      <c r="H15" s="70">
        <v>3170</v>
      </c>
      <c r="I15" s="69">
        <v>3734</v>
      </c>
      <c r="J15" s="70">
        <v>5070</v>
      </c>
      <c r="K15" s="70">
        <v>6240</v>
      </c>
      <c r="L15" s="70">
        <v>6595</v>
      </c>
      <c r="M15" s="71">
        <v>9645</v>
      </c>
      <c r="N15" s="70">
        <v>9890</v>
      </c>
      <c r="O15" s="70">
        <v>10180</v>
      </c>
      <c r="P15" s="70">
        <v>10480</v>
      </c>
      <c r="Q15" s="70">
        <v>11260</v>
      </c>
    </row>
    <row r="16" spans="1:17" ht="12.75">
      <c r="A16" s="2">
        <v>13</v>
      </c>
      <c r="B16" s="62">
        <v>215</v>
      </c>
      <c r="C16" s="2" t="s">
        <v>28</v>
      </c>
      <c r="D16" s="57">
        <v>220</v>
      </c>
      <c r="E16" s="54">
        <v>720</v>
      </c>
      <c r="F16" s="55">
        <v>720</v>
      </c>
      <c r="G16" s="55">
        <v>720</v>
      </c>
      <c r="H16" s="55">
        <v>720</v>
      </c>
      <c r="I16" s="54">
        <v>1109</v>
      </c>
      <c r="J16" s="55">
        <v>1656</v>
      </c>
      <c r="K16" s="55">
        <v>2096</v>
      </c>
      <c r="L16" s="55">
        <v>1700</v>
      </c>
      <c r="M16" s="56">
        <v>3141</v>
      </c>
      <c r="N16" s="55">
        <v>3141</v>
      </c>
      <c r="O16" s="55">
        <v>3141</v>
      </c>
      <c r="P16" s="55">
        <v>3141</v>
      </c>
      <c r="Q16" s="55">
        <v>3216</v>
      </c>
    </row>
    <row r="17" spans="1:17" ht="12.75">
      <c r="A17" s="2">
        <v>14</v>
      </c>
      <c r="B17" s="62">
        <v>216</v>
      </c>
      <c r="C17" s="2" t="s">
        <v>33</v>
      </c>
      <c r="D17" s="57">
        <v>0</v>
      </c>
      <c r="E17" s="55">
        <v>0</v>
      </c>
      <c r="F17" s="55">
        <v>250</v>
      </c>
      <c r="G17" s="55">
        <v>2250</v>
      </c>
      <c r="H17" s="55">
        <v>2250</v>
      </c>
      <c r="I17" s="54">
        <v>2220</v>
      </c>
      <c r="J17" s="55">
        <v>2220</v>
      </c>
      <c r="K17" s="55">
        <v>2153</v>
      </c>
      <c r="L17" s="55">
        <v>2153</v>
      </c>
      <c r="M17" s="56">
        <v>3183</v>
      </c>
      <c r="N17" s="55">
        <v>3183</v>
      </c>
      <c r="O17" s="55">
        <v>3183</v>
      </c>
      <c r="P17" s="55">
        <v>3183</v>
      </c>
      <c r="Q17" s="55">
        <v>3183</v>
      </c>
    </row>
    <row r="18" spans="1:17" ht="12.75">
      <c r="A18" s="2">
        <v>15</v>
      </c>
      <c r="B18" s="62">
        <v>225</v>
      </c>
      <c r="C18" s="2" t="s">
        <v>27</v>
      </c>
      <c r="D18" s="57">
        <v>380</v>
      </c>
      <c r="E18" s="54">
        <v>430</v>
      </c>
      <c r="F18" s="55">
        <v>1680</v>
      </c>
      <c r="G18" s="55">
        <v>1680</v>
      </c>
      <c r="H18" s="55">
        <v>3220</v>
      </c>
      <c r="I18" s="54">
        <v>3277</v>
      </c>
      <c r="J18" s="55">
        <v>3855</v>
      </c>
      <c r="K18" s="55">
        <v>4980</v>
      </c>
      <c r="L18" s="55">
        <v>5130</v>
      </c>
      <c r="M18" s="56">
        <v>5130</v>
      </c>
      <c r="N18" s="55">
        <v>5330</v>
      </c>
      <c r="O18" s="55">
        <v>5405</v>
      </c>
      <c r="P18" s="55">
        <f>5405+150</f>
        <v>5555</v>
      </c>
      <c r="Q18" s="55">
        <v>5630</v>
      </c>
    </row>
    <row r="19" spans="1:17" ht="12.75">
      <c r="A19" s="2">
        <v>16</v>
      </c>
      <c r="B19" s="62">
        <v>226</v>
      </c>
      <c r="C19" s="2" t="s">
        <v>31</v>
      </c>
      <c r="D19" s="57">
        <v>935</v>
      </c>
      <c r="E19" s="54">
        <v>935</v>
      </c>
      <c r="F19" s="55">
        <v>1930</v>
      </c>
      <c r="G19" s="55">
        <v>2200</v>
      </c>
      <c r="H19" s="55">
        <v>2450</v>
      </c>
      <c r="I19" s="54">
        <v>2730</v>
      </c>
      <c r="J19" s="55">
        <v>3170</v>
      </c>
      <c r="K19" s="55">
        <v>4110</v>
      </c>
      <c r="L19" s="55">
        <v>4210</v>
      </c>
      <c r="M19" s="56">
        <v>4285</v>
      </c>
      <c r="N19" s="55">
        <v>4725</v>
      </c>
      <c r="O19" s="55">
        <v>4725</v>
      </c>
      <c r="P19" s="55">
        <v>4800</v>
      </c>
      <c r="Q19" s="55">
        <v>4800</v>
      </c>
    </row>
    <row r="20" spans="1:17" ht="12.75">
      <c r="A20" s="2">
        <v>17</v>
      </c>
      <c r="B20" s="62">
        <v>235</v>
      </c>
      <c r="C20" s="2" t="s">
        <v>32</v>
      </c>
      <c r="D20" s="57">
        <v>60</v>
      </c>
      <c r="E20" s="54">
        <v>60</v>
      </c>
      <c r="F20" s="55">
        <v>110</v>
      </c>
      <c r="G20" s="55">
        <v>110</v>
      </c>
      <c r="H20" s="55">
        <v>110</v>
      </c>
      <c r="I20" s="54">
        <v>290</v>
      </c>
      <c r="J20" s="55">
        <v>480</v>
      </c>
      <c r="K20" s="55">
        <v>1590</v>
      </c>
      <c r="L20" s="55">
        <v>1620</v>
      </c>
      <c r="M20" s="56">
        <v>1770</v>
      </c>
      <c r="N20" s="55">
        <v>1915</v>
      </c>
      <c r="O20" s="55">
        <v>1915</v>
      </c>
      <c r="P20" s="55">
        <v>1915</v>
      </c>
      <c r="Q20" s="55">
        <v>1915</v>
      </c>
    </row>
    <row r="21" spans="1:17" ht="12.75">
      <c r="A21" s="2">
        <v>18</v>
      </c>
      <c r="B21" s="62">
        <v>236</v>
      </c>
      <c r="C21" s="2" t="s">
        <v>30</v>
      </c>
      <c r="D21" s="57">
        <v>65</v>
      </c>
      <c r="E21" s="54">
        <v>65</v>
      </c>
      <c r="F21" s="55">
        <v>175</v>
      </c>
      <c r="G21" s="55">
        <v>1965</v>
      </c>
      <c r="H21" s="55">
        <v>2965</v>
      </c>
      <c r="I21" s="54">
        <v>2984</v>
      </c>
      <c r="J21" s="55">
        <v>3644</v>
      </c>
      <c r="K21" s="55">
        <v>3644</v>
      </c>
      <c r="L21" s="55">
        <v>3644</v>
      </c>
      <c r="M21" s="56">
        <v>3632</v>
      </c>
      <c r="N21" s="55">
        <v>3632</v>
      </c>
      <c r="O21" s="55">
        <v>3632</v>
      </c>
      <c r="P21" s="55">
        <v>3632</v>
      </c>
      <c r="Q21" s="55">
        <v>3632</v>
      </c>
    </row>
    <row r="22" spans="1:17" ht="12.75">
      <c r="A22" s="2">
        <v>19</v>
      </c>
      <c r="B22" s="67">
        <v>237</v>
      </c>
      <c r="C22" s="43" t="s">
        <v>29</v>
      </c>
      <c r="D22" s="68">
        <v>242</v>
      </c>
      <c r="E22" s="69">
        <v>532</v>
      </c>
      <c r="F22" s="70">
        <v>802</v>
      </c>
      <c r="G22" s="70">
        <v>1792</v>
      </c>
      <c r="H22" s="70">
        <v>2042</v>
      </c>
      <c r="I22" s="69">
        <v>2278</v>
      </c>
      <c r="J22" s="70">
        <v>2391</v>
      </c>
      <c r="K22" s="70">
        <v>2971</v>
      </c>
      <c r="L22" s="70">
        <v>3046</v>
      </c>
      <c r="M22" s="71">
        <v>4636</v>
      </c>
      <c r="N22" s="70">
        <v>4636</v>
      </c>
      <c r="O22" s="70">
        <v>4636</v>
      </c>
      <c r="P22" s="70">
        <f>4636+150</f>
        <v>4786</v>
      </c>
      <c r="Q22" s="70">
        <v>5021</v>
      </c>
    </row>
    <row r="23" spans="1:17" ht="12.75">
      <c r="A23" s="2">
        <v>20</v>
      </c>
      <c r="B23" s="62">
        <v>315</v>
      </c>
      <c r="C23" s="2" t="s">
        <v>2</v>
      </c>
      <c r="D23" s="57">
        <v>495</v>
      </c>
      <c r="E23" s="54">
        <v>875</v>
      </c>
      <c r="F23" s="55">
        <v>1295</v>
      </c>
      <c r="G23" s="55">
        <v>1295</v>
      </c>
      <c r="H23" s="55">
        <v>1295</v>
      </c>
      <c r="I23" s="54">
        <v>1295</v>
      </c>
      <c r="J23" s="55">
        <v>1295</v>
      </c>
      <c r="K23" s="55">
        <v>3270</v>
      </c>
      <c r="L23" s="55">
        <v>3260</v>
      </c>
      <c r="M23" s="56">
        <v>5035</v>
      </c>
      <c r="N23" s="55">
        <v>5535</v>
      </c>
      <c r="O23" s="55">
        <v>5535</v>
      </c>
      <c r="P23" s="55">
        <v>5535</v>
      </c>
      <c r="Q23" s="55">
        <v>5535</v>
      </c>
    </row>
    <row r="24" spans="1:17" s="3" customFormat="1" ht="12.75">
      <c r="A24" s="2">
        <v>21</v>
      </c>
      <c r="B24" s="62">
        <v>316</v>
      </c>
      <c r="C24" s="2" t="s">
        <v>1</v>
      </c>
      <c r="D24" s="57">
        <v>340</v>
      </c>
      <c r="E24" s="55">
        <v>380</v>
      </c>
      <c r="F24" s="55">
        <v>2430</v>
      </c>
      <c r="G24" s="55">
        <v>2620</v>
      </c>
      <c r="H24" s="55">
        <v>2620</v>
      </c>
      <c r="I24" s="54">
        <v>2750</v>
      </c>
      <c r="J24" s="55">
        <v>3270</v>
      </c>
      <c r="K24" s="55">
        <v>4600</v>
      </c>
      <c r="L24" s="55">
        <v>4670</v>
      </c>
      <c r="M24" s="56">
        <v>4670</v>
      </c>
      <c r="N24" s="55">
        <v>6348</v>
      </c>
      <c r="O24" s="55">
        <v>6348</v>
      </c>
      <c r="P24" s="55">
        <v>6348</v>
      </c>
      <c r="Q24" s="55">
        <v>6348</v>
      </c>
    </row>
    <row r="25" spans="1:17" ht="12.75">
      <c r="A25" s="2">
        <v>22</v>
      </c>
      <c r="B25" s="62">
        <v>317</v>
      </c>
      <c r="C25" s="2" t="s">
        <v>3</v>
      </c>
      <c r="D25" s="57">
        <v>40</v>
      </c>
      <c r="E25" s="54">
        <v>690</v>
      </c>
      <c r="F25" s="55">
        <v>2505</v>
      </c>
      <c r="G25" s="55">
        <v>2505</v>
      </c>
      <c r="H25" s="55">
        <v>2505</v>
      </c>
      <c r="I25" s="54">
        <v>3525</v>
      </c>
      <c r="J25" s="55">
        <v>3275</v>
      </c>
      <c r="K25" s="55">
        <v>4145</v>
      </c>
      <c r="L25" s="55">
        <v>4395</v>
      </c>
      <c r="M25" s="56">
        <v>4025</v>
      </c>
      <c r="N25" s="55">
        <v>4025</v>
      </c>
      <c r="O25" s="55">
        <v>4055</v>
      </c>
      <c r="P25" s="55">
        <v>4055</v>
      </c>
      <c r="Q25" s="55">
        <v>4265</v>
      </c>
    </row>
    <row r="26" spans="1:17" ht="12.75">
      <c r="A26" s="2">
        <v>23</v>
      </c>
      <c r="B26" s="62">
        <v>325</v>
      </c>
      <c r="C26" s="2" t="s">
        <v>4</v>
      </c>
      <c r="D26" s="57">
        <v>665</v>
      </c>
      <c r="E26" s="54">
        <v>2000</v>
      </c>
      <c r="F26" s="55">
        <v>3570</v>
      </c>
      <c r="G26" s="55">
        <v>6593</v>
      </c>
      <c r="H26" s="55">
        <v>6508</v>
      </c>
      <c r="I26" s="54">
        <v>6948</v>
      </c>
      <c r="J26" s="55">
        <v>8483</v>
      </c>
      <c r="K26" s="55">
        <v>9023</v>
      </c>
      <c r="L26" s="55">
        <v>10983</v>
      </c>
      <c r="M26" s="56">
        <v>10983</v>
      </c>
      <c r="N26" s="55">
        <v>11112</v>
      </c>
      <c r="O26" s="55">
        <v>11112</v>
      </c>
      <c r="P26" s="55">
        <v>11112</v>
      </c>
      <c r="Q26" s="55">
        <v>11112</v>
      </c>
    </row>
    <row r="27" spans="1:17" ht="12.75">
      <c r="A27" s="2">
        <v>24</v>
      </c>
      <c r="B27" s="62">
        <v>326</v>
      </c>
      <c r="C27" s="2" t="s">
        <v>0</v>
      </c>
      <c r="D27" s="57">
        <v>1530</v>
      </c>
      <c r="E27" s="54">
        <v>2955</v>
      </c>
      <c r="F27" s="55">
        <v>5385</v>
      </c>
      <c r="G27" s="55">
        <v>6580</v>
      </c>
      <c r="H27" s="55">
        <v>6850</v>
      </c>
      <c r="I27" s="54">
        <v>7800</v>
      </c>
      <c r="J27" s="55">
        <v>9140</v>
      </c>
      <c r="K27" s="55">
        <v>9844</v>
      </c>
      <c r="L27" s="55">
        <v>10064</v>
      </c>
      <c r="M27" s="56">
        <v>10064</v>
      </c>
      <c r="N27" s="55">
        <v>10694</v>
      </c>
      <c r="O27" s="55">
        <v>10694</v>
      </c>
      <c r="P27" s="55">
        <f>10694+75</f>
        <v>10769</v>
      </c>
      <c r="Q27" s="55">
        <v>10799</v>
      </c>
    </row>
    <row r="28" spans="1:17" ht="12.75">
      <c r="A28" s="2">
        <v>25</v>
      </c>
      <c r="B28" s="62">
        <v>327</v>
      </c>
      <c r="C28" s="2" t="s">
        <v>6</v>
      </c>
      <c r="D28" s="57">
        <v>1145</v>
      </c>
      <c r="E28" s="54">
        <v>1630</v>
      </c>
      <c r="F28" s="55">
        <v>2680</v>
      </c>
      <c r="G28" s="55">
        <v>3360</v>
      </c>
      <c r="H28" s="55">
        <v>3735</v>
      </c>
      <c r="I28" s="54">
        <v>4165</v>
      </c>
      <c r="J28" s="55">
        <v>5505</v>
      </c>
      <c r="K28" s="55">
        <v>6015</v>
      </c>
      <c r="L28" s="55">
        <v>6390</v>
      </c>
      <c r="M28" s="56">
        <v>6565</v>
      </c>
      <c r="N28" s="55">
        <v>7637</v>
      </c>
      <c r="O28" s="55">
        <v>7637</v>
      </c>
      <c r="P28" s="55">
        <f>7637+75</f>
        <v>7712</v>
      </c>
      <c r="Q28" s="55">
        <f>7637+75</f>
        <v>7712</v>
      </c>
    </row>
    <row r="29" spans="1:17" ht="12.75">
      <c r="A29" s="2">
        <v>26</v>
      </c>
      <c r="B29" s="62">
        <v>335</v>
      </c>
      <c r="C29" s="2" t="s">
        <v>5</v>
      </c>
      <c r="D29" s="57">
        <v>4925</v>
      </c>
      <c r="E29" s="54">
        <v>6150</v>
      </c>
      <c r="F29" s="55">
        <v>8080</v>
      </c>
      <c r="G29" s="55">
        <v>8520</v>
      </c>
      <c r="H29" s="55">
        <v>8810</v>
      </c>
      <c r="I29" s="54">
        <v>10180</v>
      </c>
      <c r="J29" s="55">
        <v>11286</v>
      </c>
      <c r="K29" s="55">
        <v>12261</v>
      </c>
      <c r="L29" s="55">
        <v>12781</v>
      </c>
      <c r="M29" s="56">
        <v>13106</v>
      </c>
      <c r="N29" s="55">
        <v>13610</v>
      </c>
      <c r="O29" s="55">
        <v>13610</v>
      </c>
      <c r="P29" s="55">
        <v>13610</v>
      </c>
      <c r="Q29" s="55">
        <v>13705</v>
      </c>
    </row>
    <row r="30" spans="1:17" ht="12.75">
      <c r="A30" s="2">
        <v>27</v>
      </c>
      <c r="B30" s="62">
        <v>336</v>
      </c>
      <c r="C30" s="2" t="s">
        <v>37</v>
      </c>
      <c r="D30" s="57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300</v>
      </c>
      <c r="L30" s="55">
        <v>300</v>
      </c>
      <c r="M30" s="56">
        <v>300</v>
      </c>
      <c r="N30" s="55">
        <v>300</v>
      </c>
      <c r="O30" s="55">
        <v>300</v>
      </c>
      <c r="P30" s="55">
        <v>300</v>
      </c>
      <c r="Q30" s="55">
        <v>300</v>
      </c>
    </row>
    <row r="31" spans="1:17" ht="12.75">
      <c r="A31" s="2">
        <v>28</v>
      </c>
      <c r="B31" s="67">
        <v>337</v>
      </c>
      <c r="C31" s="43" t="s">
        <v>7</v>
      </c>
      <c r="D31" s="68">
        <v>740</v>
      </c>
      <c r="E31" s="69">
        <v>1560</v>
      </c>
      <c r="F31" s="70">
        <v>2955</v>
      </c>
      <c r="G31" s="70">
        <v>3635</v>
      </c>
      <c r="H31" s="70">
        <v>4170</v>
      </c>
      <c r="I31" s="69">
        <v>4910</v>
      </c>
      <c r="J31" s="70">
        <v>5415</v>
      </c>
      <c r="K31" s="70">
        <v>5695</v>
      </c>
      <c r="L31" s="70">
        <v>6985</v>
      </c>
      <c r="M31" s="71">
        <v>7085</v>
      </c>
      <c r="N31" s="70">
        <v>8105</v>
      </c>
      <c r="O31" s="70">
        <v>8145</v>
      </c>
      <c r="P31" s="70">
        <f>8145+75</f>
        <v>8220</v>
      </c>
      <c r="Q31" s="70">
        <f>8145+75</f>
        <v>8220</v>
      </c>
    </row>
    <row r="32" spans="1:17" ht="12.75">
      <c r="A32" s="2">
        <v>29</v>
      </c>
      <c r="B32" s="62">
        <v>415</v>
      </c>
      <c r="C32" s="2" t="s">
        <v>11</v>
      </c>
      <c r="D32" s="57">
        <v>440</v>
      </c>
      <c r="E32" s="54">
        <v>1570</v>
      </c>
      <c r="F32" s="55">
        <v>3560</v>
      </c>
      <c r="G32" s="55">
        <v>4820</v>
      </c>
      <c r="H32" s="55">
        <v>4650</v>
      </c>
      <c r="I32" s="54">
        <v>5380</v>
      </c>
      <c r="J32" s="55">
        <v>9055</v>
      </c>
      <c r="K32" s="55">
        <v>10955</v>
      </c>
      <c r="L32" s="55">
        <v>10955</v>
      </c>
      <c r="M32" s="56">
        <v>11605</v>
      </c>
      <c r="N32" s="55">
        <v>12952</v>
      </c>
      <c r="O32" s="55">
        <v>13032</v>
      </c>
      <c r="P32" s="55">
        <f>13032+75</f>
        <v>13107</v>
      </c>
      <c r="Q32" s="55">
        <v>13257</v>
      </c>
    </row>
    <row r="33" spans="1:17" ht="12.75">
      <c r="A33" s="2">
        <v>30</v>
      </c>
      <c r="B33" s="62">
        <v>416</v>
      </c>
      <c r="C33" s="2" t="s">
        <v>13</v>
      </c>
      <c r="D33" s="57">
        <v>250</v>
      </c>
      <c r="E33" s="54">
        <v>670</v>
      </c>
      <c r="F33" s="55">
        <v>1910</v>
      </c>
      <c r="G33" s="55">
        <v>2680</v>
      </c>
      <c r="H33" s="55">
        <v>2715</v>
      </c>
      <c r="I33" s="54">
        <v>2715</v>
      </c>
      <c r="J33" s="55">
        <v>3555</v>
      </c>
      <c r="K33" s="55">
        <v>4640</v>
      </c>
      <c r="L33" s="55">
        <v>5095</v>
      </c>
      <c r="M33" s="56">
        <v>5095</v>
      </c>
      <c r="N33" s="55">
        <v>5170</v>
      </c>
      <c r="O33" s="55">
        <v>5170</v>
      </c>
      <c r="P33" s="55">
        <v>5170</v>
      </c>
      <c r="Q33" s="55">
        <v>5170</v>
      </c>
    </row>
    <row r="34" spans="1:17" ht="12.75">
      <c r="A34" s="2">
        <v>31</v>
      </c>
      <c r="B34" s="62">
        <v>417</v>
      </c>
      <c r="C34" s="2" t="s">
        <v>8</v>
      </c>
      <c r="D34" s="57">
        <v>455</v>
      </c>
      <c r="E34" s="54">
        <v>1245</v>
      </c>
      <c r="F34" s="55">
        <v>2210</v>
      </c>
      <c r="G34" s="55">
        <v>2210</v>
      </c>
      <c r="H34" s="55">
        <v>2230</v>
      </c>
      <c r="I34" s="54">
        <v>2420</v>
      </c>
      <c r="J34" s="55">
        <v>4085</v>
      </c>
      <c r="K34" s="55">
        <v>4165</v>
      </c>
      <c r="L34" s="55">
        <v>4650</v>
      </c>
      <c r="M34" s="56">
        <v>4860</v>
      </c>
      <c r="N34" s="55">
        <v>4935</v>
      </c>
      <c r="O34" s="55">
        <v>4900</v>
      </c>
      <c r="P34" s="55">
        <v>4900</v>
      </c>
      <c r="Q34" s="55">
        <v>4900</v>
      </c>
    </row>
    <row r="35" spans="1:17" ht="12.75">
      <c r="A35" s="2">
        <v>32</v>
      </c>
      <c r="B35" s="62">
        <v>425</v>
      </c>
      <c r="C35" s="2" t="s">
        <v>15</v>
      </c>
      <c r="D35" s="57">
        <v>905</v>
      </c>
      <c r="E35" s="54">
        <v>2875</v>
      </c>
      <c r="F35" s="55">
        <v>10192</v>
      </c>
      <c r="G35" s="55">
        <v>10994</v>
      </c>
      <c r="H35" s="55">
        <v>11334</v>
      </c>
      <c r="I35" s="54">
        <v>13964</v>
      </c>
      <c r="J35" s="55">
        <v>19151</v>
      </c>
      <c r="K35" s="55">
        <v>23180</v>
      </c>
      <c r="L35" s="55">
        <v>24575</v>
      </c>
      <c r="M35" s="56">
        <v>25510</v>
      </c>
      <c r="N35" s="55">
        <v>28022</v>
      </c>
      <c r="O35" s="55">
        <v>28104</v>
      </c>
      <c r="P35" s="55">
        <f>28104+150</f>
        <v>28254</v>
      </c>
      <c r="Q35" s="55">
        <v>29244</v>
      </c>
    </row>
    <row r="36" spans="1:17" ht="12.75">
      <c r="A36" s="2">
        <v>33</v>
      </c>
      <c r="B36" s="62">
        <v>426</v>
      </c>
      <c r="C36" s="2" t="s">
        <v>9</v>
      </c>
      <c r="D36" s="57">
        <v>1940</v>
      </c>
      <c r="E36" s="54">
        <v>6800</v>
      </c>
      <c r="F36" s="55">
        <v>11970</v>
      </c>
      <c r="G36" s="55">
        <v>17715</v>
      </c>
      <c r="H36" s="55">
        <v>19050</v>
      </c>
      <c r="I36" s="54">
        <v>21270</v>
      </c>
      <c r="J36" s="55">
        <v>25500</v>
      </c>
      <c r="K36" s="55">
        <v>29690</v>
      </c>
      <c r="L36" s="55">
        <v>33490</v>
      </c>
      <c r="M36" s="56">
        <v>34335</v>
      </c>
      <c r="N36" s="56">
        <v>36652</v>
      </c>
      <c r="O36" s="55">
        <v>37067</v>
      </c>
      <c r="P36" s="55">
        <f>37067+150</f>
        <v>37217</v>
      </c>
      <c r="Q36" s="55">
        <v>38367</v>
      </c>
    </row>
    <row r="37" spans="1:17" ht="12.75">
      <c r="A37" s="2">
        <v>34</v>
      </c>
      <c r="B37" s="62">
        <v>435</v>
      </c>
      <c r="C37" s="2" t="s">
        <v>10</v>
      </c>
      <c r="D37" s="57">
        <v>490</v>
      </c>
      <c r="E37" s="54">
        <v>1295</v>
      </c>
      <c r="F37" s="55">
        <v>1825</v>
      </c>
      <c r="G37" s="55">
        <v>1695</v>
      </c>
      <c r="H37" s="55">
        <v>1695</v>
      </c>
      <c r="I37" s="54">
        <v>1795</v>
      </c>
      <c r="J37" s="55">
        <v>2475</v>
      </c>
      <c r="K37" s="55">
        <v>3395</v>
      </c>
      <c r="L37" s="55">
        <v>3610</v>
      </c>
      <c r="M37" s="56">
        <v>3550</v>
      </c>
      <c r="N37" s="55">
        <v>3645</v>
      </c>
      <c r="O37" s="55">
        <v>3645</v>
      </c>
      <c r="P37" s="55">
        <v>3645</v>
      </c>
      <c r="Q37" s="55">
        <v>3645</v>
      </c>
    </row>
    <row r="38" spans="1:17" ht="12.75">
      <c r="A38" s="2">
        <v>35</v>
      </c>
      <c r="B38" s="62">
        <v>436</v>
      </c>
      <c r="C38" s="2" t="s">
        <v>12</v>
      </c>
      <c r="D38" s="57">
        <v>3720</v>
      </c>
      <c r="E38" s="54">
        <v>6500</v>
      </c>
      <c r="F38" s="55">
        <v>9295</v>
      </c>
      <c r="G38" s="55">
        <v>11745</v>
      </c>
      <c r="H38" s="55">
        <v>13425</v>
      </c>
      <c r="I38" s="54">
        <v>14960</v>
      </c>
      <c r="J38" s="55">
        <v>17920</v>
      </c>
      <c r="K38" s="55">
        <v>23545</v>
      </c>
      <c r="L38" s="55">
        <v>25805</v>
      </c>
      <c r="M38" s="56">
        <v>28080</v>
      </c>
      <c r="N38" s="55">
        <v>29735</v>
      </c>
      <c r="O38" s="55">
        <v>30340</v>
      </c>
      <c r="P38" s="55">
        <f>30340+75</f>
        <v>30415</v>
      </c>
      <c r="Q38" s="55">
        <v>30265</v>
      </c>
    </row>
    <row r="39" spans="1:17" ht="12.75">
      <c r="A39" s="2">
        <v>36</v>
      </c>
      <c r="B39" s="67">
        <v>437</v>
      </c>
      <c r="C39" s="43" t="s">
        <v>14</v>
      </c>
      <c r="D39" s="68">
        <v>1835</v>
      </c>
      <c r="E39" s="69">
        <v>5205</v>
      </c>
      <c r="F39" s="70">
        <v>6564</v>
      </c>
      <c r="G39" s="70">
        <v>7466</v>
      </c>
      <c r="H39" s="70">
        <v>8891</v>
      </c>
      <c r="I39" s="69">
        <v>11355</v>
      </c>
      <c r="J39" s="70">
        <v>15584</v>
      </c>
      <c r="K39" s="70">
        <v>19954</v>
      </c>
      <c r="L39" s="70">
        <v>21364</v>
      </c>
      <c r="M39" s="71">
        <v>21755</v>
      </c>
      <c r="N39" s="70">
        <v>21988</v>
      </c>
      <c r="O39" s="70">
        <v>22058</v>
      </c>
      <c r="P39" s="70">
        <f>22058+225</f>
        <v>22283</v>
      </c>
      <c r="Q39" s="70">
        <v>22388</v>
      </c>
    </row>
    <row r="40" spans="1:17" ht="12.75">
      <c r="A40" s="2">
        <v>37</v>
      </c>
      <c r="B40" s="62">
        <v>199</v>
      </c>
      <c r="C40" s="3" t="s">
        <v>50</v>
      </c>
      <c r="D40" s="57">
        <f>SUM(D4:D15)</f>
        <v>5890</v>
      </c>
      <c r="E40" s="55">
        <f aca="true" t="shared" si="0" ref="E40:K40">SUM(E4:E15)</f>
        <v>9205</v>
      </c>
      <c r="F40" s="55">
        <f t="shared" si="0"/>
        <v>14020</v>
      </c>
      <c r="G40" s="55">
        <f t="shared" si="0"/>
        <v>22165</v>
      </c>
      <c r="H40" s="55">
        <f t="shared" si="0"/>
        <v>26300</v>
      </c>
      <c r="I40" s="55">
        <f t="shared" si="0"/>
        <v>31446</v>
      </c>
      <c r="J40" s="55">
        <f t="shared" si="0"/>
        <v>40438</v>
      </c>
      <c r="K40" s="55">
        <f t="shared" si="0"/>
        <v>59707</v>
      </c>
      <c r="L40" s="55">
        <f>SUM(L4:L15)</f>
        <v>60937</v>
      </c>
      <c r="M40" s="56">
        <f>SUM(M4:M15)</f>
        <v>73398</v>
      </c>
      <c r="N40" s="56">
        <f>SUM(N4:N15)</f>
        <v>82154</v>
      </c>
      <c r="O40" s="56">
        <f>SUM(O4:O15)</f>
        <v>83019</v>
      </c>
      <c r="P40" s="56">
        <f>SUM(P4:P15)</f>
        <v>83914</v>
      </c>
      <c r="Q40" s="56">
        <f>SUM(Q4:Q15)</f>
        <v>86753</v>
      </c>
    </row>
    <row r="41" spans="1:17" ht="12.75">
      <c r="A41" s="2">
        <v>38</v>
      </c>
      <c r="B41" s="62">
        <v>299</v>
      </c>
      <c r="C41" s="3" t="s">
        <v>51</v>
      </c>
      <c r="D41" s="57">
        <f>SUM(D16:D22)</f>
        <v>1902</v>
      </c>
      <c r="E41" s="55">
        <f aca="true" t="shared" si="1" ref="E41:K41">SUM(E16:E22)</f>
        <v>2742</v>
      </c>
      <c r="F41" s="55">
        <f t="shared" si="1"/>
        <v>5667</v>
      </c>
      <c r="G41" s="55">
        <f t="shared" si="1"/>
        <v>10717</v>
      </c>
      <c r="H41" s="55">
        <f t="shared" si="1"/>
        <v>13757</v>
      </c>
      <c r="I41" s="55">
        <f t="shared" si="1"/>
        <v>14888</v>
      </c>
      <c r="J41" s="55">
        <f t="shared" si="1"/>
        <v>17416</v>
      </c>
      <c r="K41" s="55">
        <f t="shared" si="1"/>
        <v>21544</v>
      </c>
      <c r="L41" s="55">
        <f>SUM(L16:L22)</f>
        <v>21503</v>
      </c>
      <c r="M41" s="56">
        <f>SUM(M16:M22)</f>
        <v>25777</v>
      </c>
      <c r="N41" s="56">
        <f>SUM(N16:N22)</f>
        <v>26562</v>
      </c>
      <c r="O41" s="56">
        <f>SUM(O16:O22)</f>
        <v>26637</v>
      </c>
      <c r="P41" s="56">
        <f>SUM(P16:P22)</f>
        <v>27012</v>
      </c>
      <c r="Q41" s="56">
        <f>SUM(Q16:Q22)</f>
        <v>27397</v>
      </c>
    </row>
    <row r="42" spans="1:17" ht="12.75">
      <c r="A42" s="2">
        <v>39</v>
      </c>
      <c r="B42" s="62">
        <v>399</v>
      </c>
      <c r="C42" s="3" t="s">
        <v>52</v>
      </c>
      <c r="D42" s="57">
        <f>SUM(D23:D31)</f>
        <v>9880</v>
      </c>
      <c r="E42" s="55">
        <f aca="true" t="shared" si="2" ref="E42:K42">SUM(E23:E31)</f>
        <v>16240</v>
      </c>
      <c r="F42" s="55">
        <f t="shared" si="2"/>
        <v>28900</v>
      </c>
      <c r="G42" s="55">
        <f t="shared" si="2"/>
        <v>35108</v>
      </c>
      <c r="H42" s="55">
        <f t="shared" si="2"/>
        <v>36493</v>
      </c>
      <c r="I42" s="55">
        <f t="shared" si="2"/>
        <v>41573</v>
      </c>
      <c r="J42" s="55">
        <f t="shared" si="2"/>
        <v>47669</v>
      </c>
      <c r="K42" s="55">
        <f t="shared" si="2"/>
        <v>55153</v>
      </c>
      <c r="L42" s="55">
        <f>SUM(L23:L31)</f>
        <v>59828</v>
      </c>
      <c r="M42" s="56">
        <f>SUM(M23:M31)</f>
        <v>61833</v>
      </c>
      <c r="N42" s="56">
        <f>SUM(N23:N31)</f>
        <v>67366</v>
      </c>
      <c r="O42" s="56">
        <f>SUM(O23:O31)</f>
        <v>67436</v>
      </c>
      <c r="P42" s="56">
        <f>SUM(P23:P31)</f>
        <v>67661</v>
      </c>
      <c r="Q42" s="56">
        <f>SUM(Q23:Q31)</f>
        <v>67996</v>
      </c>
    </row>
    <row r="43" spans="1:17" ht="12.75">
      <c r="A43" s="2">
        <v>40</v>
      </c>
      <c r="B43" s="62">
        <v>499</v>
      </c>
      <c r="C43" s="3" t="s">
        <v>53</v>
      </c>
      <c r="D43" s="57">
        <f>SUM(D32:D39)</f>
        <v>10035</v>
      </c>
      <c r="E43" s="55">
        <f aca="true" t="shared" si="3" ref="E43:K43">SUM(E32:E39)</f>
        <v>26160</v>
      </c>
      <c r="F43" s="55">
        <f t="shared" si="3"/>
        <v>47526</v>
      </c>
      <c r="G43" s="55">
        <f t="shared" si="3"/>
        <v>59325</v>
      </c>
      <c r="H43" s="55">
        <f t="shared" si="3"/>
        <v>63990</v>
      </c>
      <c r="I43" s="55">
        <f t="shared" si="3"/>
        <v>73859</v>
      </c>
      <c r="J43" s="55">
        <f t="shared" si="3"/>
        <v>97325</v>
      </c>
      <c r="K43" s="55">
        <f t="shared" si="3"/>
        <v>119524</v>
      </c>
      <c r="L43" s="55">
        <f>SUM(L32:L39)</f>
        <v>129544</v>
      </c>
      <c r="M43" s="56">
        <f>SUM(M32:M39)</f>
        <v>134790</v>
      </c>
      <c r="N43" s="56">
        <f>SUM(N32:N39)</f>
        <v>143099</v>
      </c>
      <c r="O43" s="56">
        <f>SUM(O32:O39)</f>
        <v>144316</v>
      </c>
      <c r="P43" s="56">
        <f>SUM(P32:P39)</f>
        <v>144991</v>
      </c>
      <c r="Q43" s="56">
        <f>SUM(Q32:Q39)</f>
        <v>147236</v>
      </c>
    </row>
    <row r="44" spans="1:17" ht="13.5" thickBot="1">
      <c r="A44" s="2">
        <v>41</v>
      </c>
      <c r="B44" s="64">
        <v>999</v>
      </c>
      <c r="C44" s="40" t="s">
        <v>34</v>
      </c>
      <c r="D44" s="66">
        <f aca="true" t="shared" si="4" ref="D44:K44">SUM(D4:D39)</f>
        <v>27707</v>
      </c>
      <c r="E44" s="58">
        <f>SUM(E4:E39)</f>
        <v>54347</v>
      </c>
      <c r="F44" s="58">
        <f t="shared" si="4"/>
        <v>96113</v>
      </c>
      <c r="G44" s="59">
        <f t="shared" si="4"/>
        <v>127315</v>
      </c>
      <c r="H44" s="58">
        <f t="shared" si="4"/>
        <v>140540</v>
      </c>
      <c r="I44" s="58">
        <f>SUM(I4:I39)</f>
        <v>161766</v>
      </c>
      <c r="J44" s="58">
        <f t="shared" si="4"/>
        <v>202848</v>
      </c>
      <c r="K44" s="58">
        <f t="shared" si="4"/>
        <v>255928</v>
      </c>
      <c r="L44" s="58">
        <f>SUM(L4:L39)</f>
        <v>271812</v>
      </c>
      <c r="M44" s="60">
        <f>SUM(M4:M39)</f>
        <v>295798</v>
      </c>
      <c r="N44" s="60">
        <f>SUM(N4:N39)</f>
        <v>319181</v>
      </c>
      <c r="O44" s="60">
        <f>SUM(O4:O39)</f>
        <v>321408</v>
      </c>
      <c r="P44" s="60">
        <f>SUM(P4:P39)</f>
        <v>323578</v>
      </c>
      <c r="Q44" s="60">
        <f>SUM(Q4:Q39)</f>
        <v>329382</v>
      </c>
    </row>
    <row r="45" ht="12.75">
      <c r="M45" s="32"/>
    </row>
    <row r="46" spans="2:17" s="35" customFormat="1" ht="12">
      <c r="B46" s="35" t="s">
        <v>39</v>
      </c>
      <c r="D46" s="35">
        <v>38352</v>
      </c>
      <c r="E46" s="35">
        <v>38717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55</v>
      </c>
      <c r="E1" s="49" t="s">
        <v>56</v>
      </c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1:17" ht="13.5" thickBot="1">
      <c r="A3" s="32"/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46">
        <f>IF(Anlagen!D4=0,0,kW_el!D4/Anlagen!D4)</f>
        <v>65</v>
      </c>
      <c r="E4" s="10">
        <f>IF(Anlagen!E4=0,0,kW_el!E4/Anlagen!E4)</f>
        <v>65</v>
      </c>
      <c r="F4" s="10">
        <f>IF(Anlagen!F4=0,0,kW_el!F4/Anlagen!F4)</f>
        <v>130</v>
      </c>
      <c r="G4" s="10">
        <f>IF(Anlagen!G4=0,0,kW_el!G4/Anlagen!G4)</f>
        <v>130</v>
      </c>
      <c r="H4" s="10">
        <f>IF(Anlagen!H4=0,0,kW_el!H4/Anlagen!H4)</f>
        <v>130</v>
      </c>
      <c r="I4" s="10">
        <f>IF(Anlagen!I4=0,0,kW_el!I4/Anlagen!I4)</f>
        <v>130</v>
      </c>
      <c r="J4" s="10">
        <f>IF(Anlagen!J4=0,0,kW_el!J4/Anlagen!J4)</f>
        <v>130</v>
      </c>
      <c r="K4" s="10">
        <f>IF(Anlagen!K4=0,0,kW_el!K4/Anlagen!K4)</f>
        <v>130</v>
      </c>
      <c r="L4" s="10">
        <f>IF(Anlagen!L4=0,0,kW_el!L4/Anlagen!L4)</f>
        <v>130</v>
      </c>
      <c r="M4" s="33">
        <f>IF(Anlagen!M4=0,0,kW_el!M4/Anlagen!M4)</f>
        <v>130</v>
      </c>
      <c r="N4" s="33">
        <f>IF(Anlagen!N4=0,0,kW_el!N4/Anlagen!N4)</f>
        <v>130</v>
      </c>
      <c r="O4" s="33">
        <f>IF(Anlagen!O4=0,0,kW_el!O4/Anlagen!O4)</f>
        <v>130</v>
      </c>
      <c r="P4" s="33">
        <f>IF(Anlagen!P4=0,0,kW_el!P4/Anlagen!P4)</f>
        <v>130</v>
      </c>
      <c r="Q4" s="33">
        <f>IF(Anlagen!Q4=0,0,kW_el!Q4/Anlagen!Q4)</f>
        <v>130</v>
      </c>
    </row>
    <row r="5" spans="1:17" ht="12.75">
      <c r="A5" s="2">
        <v>2</v>
      </c>
      <c r="B5" s="62">
        <v>115</v>
      </c>
      <c r="C5" s="2" t="s">
        <v>21</v>
      </c>
      <c r="D5" s="46">
        <f>IF(Anlagen!D5=0,0,kW_el!D5/Anlagen!D5)</f>
        <v>110</v>
      </c>
      <c r="E5" s="10">
        <f>IF(Anlagen!E5=0,0,kW_el!E5/Anlagen!E5)</f>
        <v>180</v>
      </c>
      <c r="F5" s="10">
        <f>IF(Anlagen!F5=0,0,kW_el!F5/Anlagen!F5)</f>
        <v>180</v>
      </c>
      <c r="G5" s="10">
        <f>IF(Anlagen!G5=0,0,kW_el!G5/Anlagen!G5)</f>
        <v>286</v>
      </c>
      <c r="H5" s="10">
        <f>IF(Anlagen!H5=0,0,kW_el!H5/Anlagen!H5)</f>
        <v>286</v>
      </c>
      <c r="I5" s="10">
        <f>IF(Anlagen!I5=0,0,kW_el!I5/Anlagen!I5)</f>
        <v>302.4</v>
      </c>
      <c r="J5" s="10">
        <f>IF(Anlagen!J5=0,0,kW_el!J5/Anlagen!J5)</f>
        <v>302.4</v>
      </c>
      <c r="K5" s="10">
        <f>IF(Anlagen!K5=0,0,kW_el!K5/Anlagen!K5)</f>
        <v>333.6666666666667</v>
      </c>
      <c r="L5" s="10">
        <f>IF(Anlagen!L5=0,0,kW_el!L5/Anlagen!L5)</f>
        <v>333.6666666666667</v>
      </c>
      <c r="M5" s="33">
        <f>IF(Anlagen!M5=0,0,kW_el!M5/Anlagen!M5)</f>
        <v>624.5714285714286</v>
      </c>
      <c r="N5" s="33">
        <f>IF(Anlagen!N5=0,0,kW_el!N5/Anlagen!N5)</f>
        <v>624.5714285714286</v>
      </c>
      <c r="O5" s="33">
        <f>IF(Anlagen!O5=0,0,kW_el!O5/Anlagen!O5)</f>
        <v>624.5714285714286</v>
      </c>
      <c r="P5" s="33">
        <f>IF(Anlagen!P5=0,0,kW_el!P5/Anlagen!P5)</f>
        <v>624.5714285714286</v>
      </c>
      <c r="Q5" s="33">
        <f>IF(Anlagen!Q5=0,0,kW_el!Q5/Anlagen!Q5)</f>
        <v>624.5714285714286</v>
      </c>
    </row>
    <row r="6" spans="1:17" ht="12.75">
      <c r="A6" s="2">
        <v>3</v>
      </c>
      <c r="B6" s="62">
        <v>116</v>
      </c>
      <c r="C6" s="2" t="s">
        <v>25</v>
      </c>
      <c r="D6" s="46">
        <f>IF(Anlagen!D6=0,0,kW_el!D6/Anlagen!D6)</f>
        <v>77.5</v>
      </c>
      <c r="E6" s="10">
        <f>IF(Anlagen!E6=0,0,kW_el!E6/Anlagen!E6)</f>
        <v>88.33333333333333</v>
      </c>
      <c r="F6" s="10">
        <f>IF(Anlagen!F6=0,0,kW_el!F6/Anlagen!F6)</f>
        <v>111.25</v>
      </c>
      <c r="G6" s="10">
        <f>IF(Anlagen!G6=0,0,kW_el!G6/Anlagen!G6)</f>
        <v>111.25</v>
      </c>
      <c r="H6" s="10">
        <f>IF(Anlagen!H6=0,0,kW_el!H6/Anlagen!H6)</f>
        <v>181</v>
      </c>
      <c r="I6" s="10">
        <f>IF(Anlagen!I6=0,0,kW_el!I6/Anlagen!I6)</f>
        <v>192</v>
      </c>
      <c r="J6" s="10">
        <f>IF(Anlagen!J6=0,0,kW_el!J6/Anlagen!J6)</f>
        <v>216.66666666666666</v>
      </c>
      <c r="K6" s="10">
        <f>IF(Anlagen!K6=0,0,kW_el!K6/Anlagen!K6)</f>
        <v>216.25</v>
      </c>
      <c r="L6" s="10">
        <f>IF(Anlagen!L6=0,0,kW_el!L6/Anlagen!L6)</f>
        <v>221.25</v>
      </c>
      <c r="M6" s="33">
        <f>IF(Anlagen!M6=0,0,kW_el!M6/Anlagen!M6)</f>
        <v>221.25</v>
      </c>
      <c r="N6" s="33">
        <f>IF(Anlagen!N6=0,0,kW_el!N6/Anlagen!N6)</f>
        <v>271.25</v>
      </c>
      <c r="O6" s="33">
        <f>IF(Anlagen!O6=0,0,kW_el!O6/Anlagen!O6)</f>
        <v>271.25</v>
      </c>
      <c r="P6" s="33">
        <f>IF(Anlagen!P6=0,0,kW_el!P6/Anlagen!P6)</f>
        <v>271.25</v>
      </c>
      <c r="Q6" s="33">
        <f>IF(Anlagen!Q6=0,0,kW_el!Q6/Anlagen!Q6)</f>
        <v>271.25</v>
      </c>
    </row>
    <row r="7" spans="1:17" ht="12.75">
      <c r="A7" s="2">
        <v>4</v>
      </c>
      <c r="B7" s="62">
        <v>117</v>
      </c>
      <c r="C7" s="2" t="s">
        <v>18</v>
      </c>
      <c r="D7" s="46">
        <f>IF(Anlagen!D7=0,0,kW_el!D7/Anlagen!D7)</f>
        <v>83.33333333333333</v>
      </c>
      <c r="E7" s="10">
        <f>IF(Anlagen!E7=0,0,kW_el!E7/Anlagen!E7)</f>
        <v>85</v>
      </c>
      <c r="F7" s="10">
        <f>IF(Anlagen!F7=0,0,kW_el!F7/Anlagen!F7)</f>
        <v>85</v>
      </c>
      <c r="G7" s="10">
        <f>IF(Anlagen!G7=0,0,kW_el!G7/Anlagen!G7)</f>
        <v>253.57142857142858</v>
      </c>
      <c r="H7" s="10">
        <f>IF(Anlagen!H7=0,0,kW_el!H7/Anlagen!H7)</f>
        <v>281.42857142857144</v>
      </c>
      <c r="I7" s="10">
        <f>IF(Anlagen!I7=0,0,kW_el!I7/Anlagen!I7)</f>
        <v>259.7142857142857</v>
      </c>
      <c r="J7" s="10">
        <f>IF(Anlagen!J7=0,0,kW_el!J7/Anlagen!J7)</f>
        <v>261.8</v>
      </c>
      <c r="K7" s="10">
        <f>IF(Anlagen!K7=0,0,kW_el!K7/Anlagen!K7)</f>
        <v>339.09090909090907</v>
      </c>
      <c r="L7" s="10">
        <f>IF(Anlagen!L7=0,0,kW_el!L7/Anlagen!L7)</f>
        <v>339.09090909090907</v>
      </c>
      <c r="M7" s="33">
        <f>IF(Anlagen!M7=0,0,kW_el!M7/Anlagen!M7)</f>
        <v>430.46153846153845</v>
      </c>
      <c r="N7" s="33">
        <f>IF(Anlagen!N7=0,0,kW_el!N7/Anlagen!N7)</f>
        <v>383.06666666666666</v>
      </c>
      <c r="O7" s="33">
        <f>IF(Anlagen!O7=0,0,kW_el!O7/Anlagen!O7)</f>
        <v>383.06666666666666</v>
      </c>
      <c r="P7" s="33">
        <f>IF(Anlagen!P7=0,0,kW_el!P7/Anlagen!P7)</f>
        <v>363.8125</v>
      </c>
      <c r="Q7" s="33">
        <f>IF(Anlagen!Q7=0,0,kW_el!Q7/Anlagen!Q7)</f>
        <v>346.8235294117647</v>
      </c>
    </row>
    <row r="8" spans="1:17" ht="12.75">
      <c r="A8" s="2">
        <v>5</v>
      </c>
      <c r="B8" s="62">
        <v>118</v>
      </c>
      <c r="C8" s="2" t="s">
        <v>24</v>
      </c>
      <c r="D8" s="46">
        <f>IF(Anlagen!D8=0,0,kW_el!D8/Anlagen!D8)</f>
        <v>0</v>
      </c>
      <c r="E8" s="10">
        <f>IF(Anlagen!E8=0,0,kW_el!E8/Anlagen!E8)</f>
        <v>0</v>
      </c>
      <c r="F8" s="10">
        <f>IF(Anlagen!F8=0,0,kW_el!F8/Anlagen!F8)</f>
        <v>426.6666666666667</v>
      </c>
      <c r="G8" s="10">
        <f>IF(Anlagen!G8=0,0,kW_el!G8/Anlagen!G8)</f>
        <v>499.2857142857143</v>
      </c>
      <c r="H8" s="10">
        <f>IF(Anlagen!H8=0,0,kW_el!H8/Anlagen!H8)</f>
        <v>485</v>
      </c>
      <c r="I8" s="10">
        <f>IF(Anlagen!I8=0,0,kW_el!I8/Anlagen!I8)</f>
        <v>490.77777777777777</v>
      </c>
      <c r="J8" s="10">
        <f>IF(Anlagen!J8=0,0,kW_el!J8/Anlagen!J8)</f>
        <v>511.7</v>
      </c>
      <c r="K8" s="10">
        <f>IF(Anlagen!K8=0,0,kW_el!K8/Anlagen!K8)</f>
        <v>625.1538461538462</v>
      </c>
      <c r="L8" s="10">
        <f>IF(Anlagen!L8=0,0,kW_el!L8/Anlagen!L8)</f>
        <v>590.7857142857143</v>
      </c>
      <c r="M8" s="33">
        <f>IF(Anlagen!M8=0,0,kW_el!M8/Anlagen!M8)</f>
        <v>556.9375</v>
      </c>
      <c r="N8" s="33">
        <f>IF(Anlagen!N8=0,0,kW_el!N8/Anlagen!N8)</f>
        <v>603.25</v>
      </c>
      <c r="O8" s="33">
        <f>IF(Anlagen!O8=0,0,kW_el!O8/Anlagen!O8)</f>
        <v>603.25</v>
      </c>
      <c r="P8" s="33">
        <f>IF(Anlagen!P8=0,0,kW_el!P8/Anlagen!P8)</f>
        <v>572.1764705882352</v>
      </c>
      <c r="Q8" s="33">
        <f>IF(Anlagen!Q8=0,0,kW_el!Q8/Anlagen!Q8)</f>
        <v>544.5555555555555</v>
      </c>
    </row>
    <row r="9" spans="1:17" ht="12.75">
      <c r="A9" s="2">
        <v>6</v>
      </c>
      <c r="B9" s="62">
        <v>119</v>
      </c>
      <c r="C9" s="2" t="s">
        <v>16</v>
      </c>
      <c r="D9" s="46">
        <f>IF(Anlagen!D9=0,0,kW_el!D9/Anlagen!D9)</f>
        <v>50</v>
      </c>
      <c r="E9" s="10">
        <f>IF(Anlagen!E9=0,0,kW_el!E9/Anlagen!E9)</f>
        <v>50</v>
      </c>
      <c r="F9" s="10">
        <f>IF(Anlagen!F9=0,0,kW_el!F9/Anlagen!F9)</f>
        <v>50</v>
      </c>
      <c r="G9" s="10">
        <f>IF(Anlagen!G9=0,0,kW_el!G9/Anlagen!G9)</f>
        <v>90</v>
      </c>
      <c r="H9" s="10">
        <f>IF(Anlagen!H9=0,0,kW_el!H9/Anlagen!H9)</f>
        <v>90</v>
      </c>
      <c r="I9" s="10">
        <f>IF(Anlagen!I9=0,0,kW_el!I9/Anlagen!I9)</f>
        <v>147.5</v>
      </c>
      <c r="J9" s="10">
        <f>IF(Anlagen!J9=0,0,kW_el!J9/Anlagen!J9)</f>
        <v>176.66666666666666</v>
      </c>
      <c r="K9" s="10">
        <f>IF(Anlagen!K9=0,0,kW_el!K9/Anlagen!K9)</f>
        <v>283.0769230769231</v>
      </c>
      <c r="L9" s="10">
        <f>IF(Anlagen!L9=0,0,kW_el!L9/Anlagen!L9)</f>
        <v>288.84615384615387</v>
      </c>
      <c r="M9" s="33">
        <f>IF(Anlagen!M9=0,0,kW_el!M9/Anlagen!M9)</f>
        <v>382.5</v>
      </c>
      <c r="N9" s="33">
        <f>IF(Anlagen!N9=0,0,kW_el!N9/Anlagen!N9)</f>
        <v>362</v>
      </c>
      <c r="O9" s="33">
        <f>IF(Anlagen!O9=0,0,kW_el!O9/Anlagen!O9)</f>
        <v>362</v>
      </c>
      <c r="P9" s="33">
        <f>IF(Anlagen!P9=0,0,kW_el!P9/Anlagen!P9)</f>
        <v>362</v>
      </c>
      <c r="Q9" s="33">
        <f>IF(Anlagen!Q9=0,0,kW_el!Q9/Anlagen!Q9)</f>
        <v>362</v>
      </c>
    </row>
    <row r="10" spans="1:17" ht="12.75">
      <c r="A10" s="2">
        <v>7</v>
      </c>
      <c r="B10" s="62">
        <v>125</v>
      </c>
      <c r="C10" s="2" t="s">
        <v>20</v>
      </c>
      <c r="D10" s="46">
        <f>IF(Anlagen!D10=0,0,kW_el!D10/Anlagen!D10)</f>
        <v>63.333333333333336</v>
      </c>
      <c r="E10" s="10">
        <f>IF(Anlagen!E10=0,0,kW_el!E10/Anlagen!E10)</f>
        <v>120</v>
      </c>
      <c r="F10" s="10">
        <f>IF(Anlagen!F10=0,0,kW_el!F10/Anlagen!F10)</f>
        <v>120</v>
      </c>
      <c r="G10" s="10">
        <f>IF(Anlagen!G10=0,0,kW_el!G10/Anlagen!G10)</f>
        <v>176</v>
      </c>
      <c r="H10" s="10">
        <f>IF(Anlagen!H10=0,0,kW_el!H10/Anlagen!H10)</f>
        <v>401.6666666666667</v>
      </c>
      <c r="I10" s="10">
        <f>IF(Anlagen!I10=0,0,kW_el!I10/Anlagen!I10)</f>
        <v>378.5</v>
      </c>
      <c r="J10" s="10">
        <f>IF(Anlagen!J10=0,0,kW_el!J10/Anlagen!J10)</f>
        <v>358.7142857142857</v>
      </c>
      <c r="K10" s="10">
        <f>IF(Anlagen!K10=0,0,kW_el!K10/Anlagen!K10)</f>
        <v>571.875</v>
      </c>
      <c r="L10" s="10">
        <f>IF(Anlagen!L10=0,0,kW_el!L10/Anlagen!L10)</f>
        <v>571.875</v>
      </c>
      <c r="M10" s="33">
        <f>IF(Anlagen!M10=0,0,kW_el!M10/Anlagen!M10)</f>
        <v>572.7777777777778</v>
      </c>
      <c r="N10" s="33">
        <f>IF(Anlagen!N10=0,0,kW_el!N10/Anlagen!N10)</f>
        <v>727.1818181818181</v>
      </c>
      <c r="O10" s="33">
        <f>IF(Anlagen!O10=0,0,kW_el!O10/Anlagen!O10)</f>
        <v>727.1818181818181</v>
      </c>
      <c r="P10" s="33">
        <f>IF(Anlagen!P10=0,0,kW_el!P10/Anlagen!P10)</f>
        <v>672.8333333333334</v>
      </c>
      <c r="Q10" s="33">
        <f>IF(Anlagen!Q10=0,0,kW_el!Q10/Anlagen!Q10)</f>
        <v>727.1818181818181</v>
      </c>
    </row>
    <row r="11" spans="1:17" ht="12.75">
      <c r="A11" s="2">
        <v>8</v>
      </c>
      <c r="B11" s="62">
        <v>126</v>
      </c>
      <c r="C11" s="2" t="s">
        <v>26</v>
      </c>
      <c r="D11" s="46">
        <f>IF(Anlagen!D11=0,0,kW_el!D11/Anlagen!D11)</f>
        <v>143.57142857142858</v>
      </c>
      <c r="E11" s="10">
        <f>IF(Anlagen!E11=0,0,kW_el!E11/Anlagen!E11)</f>
        <v>150.625</v>
      </c>
      <c r="F11" s="10">
        <f>IF(Anlagen!F11=0,0,kW_el!F11/Anlagen!F11)</f>
        <v>150.625</v>
      </c>
      <c r="G11" s="10">
        <f>IF(Anlagen!G11=0,0,kW_el!G11/Anlagen!G11)</f>
        <v>153.88888888888889</v>
      </c>
      <c r="H11" s="10">
        <f>IF(Anlagen!H11=0,0,kW_el!H11/Anlagen!H11)</f>
        <v>176.8181818181818</v>
      </c>
      <c r="I11" s="10">
        <f>IF(Anlagen!I11=0,0,kW_el!I11/Anlagen!I11)</f>
        <v>206.15384615384616</v>
      </c>
      <c r="J11" s="10">
        <f>IF(Anlagen!J11=0,0,kW_el!J11/Anlagen!J11)</f>
        <v>227.33333333333334</v>
      </c>
      <c r="K11" s="10">
        <f>IF(Anlagen!K11=0,0,kW_el!K11/Anlagen!K11)</f>
        <v>316.94444444444446</v>
      </c>
      <c r="L11" s="10">
        <f>IF(Anlagen!L11=0,0,kW_el!L11/Anlagen!L11)</f>
        <v>327.5</v>
      </c>
      <c r="M11" s="33">
        <f>IF(Anlagen!M11=0,0,kW_el!M11/Anlagen!M11)</f>
        <v>338.1578947368421</v>
      </c>
      <c r="N11" s="33">
        <f>IF(Anlagen!N11=0,0,kW_el!N11/Anlagen!N11)</f>
        <v>334.8421052631579</v>
      </c>
      <c r="O11" s="33">
        <f>IF(Anlagen!O11=0,0,kW_el!O11/Anlagen!O11)</f>
        <v>340.63157894736844</v>
      </c>
      <c r="P11" s="33">
        <f>IF(Anlagen!P11=0,0,kW_el!P11/Anlagen!P11)</f>
        <v>327.35</v>
      </c>
      <c r="Q11" s="33">
        <f>IF(Anlagen!Q11=0,0,kW_el!Q11/Anlagen!Q11)</f>
        <v>290.09090909090907</v>
      </c>
    </row>
    <row r="12" spans="1:17" ht="12.75">
      <c r="A12" s="2">
        <v>9</v>
      </c>
      <c r="B12" s="62">
        <v>127</v>
      </c>
      <c r="C12" s="2" t="s">
        <v>22</v>
      </c>
      <c r="D12" s="46">
        <f>IF(Anlagen!D12=0,0,kW_el!D12/Anlagen!D12)</f>
        <v>90.25</v>
      </c>
      <c r="E12" s="10">
        <f>IF(Anlagen!E12=0,0,kW_el!E12/Anlagen!E12)</f>
        <v>108.6</v>
      </c>
      <c r="F12" s="10">
        <f>IF(Anlagen!F12=0,0,kW_el!F12/Anlagen!F12)</f>
        <v>178.1818181818182</v>
      </c>
      <c r="G12" s="10">
        <f>IF(Anlagen!G12=0,0,kW_el!G12/Anlagen!G12)</f>
        <v>206.92307692307693</v>
      </c>
      <c r="H12" s="10">
        <f>IF(Anlagen!H12=0,0,kW_el!H12/Anlagen!H12)</f>
        <v>224.6153846153846</v>
      </c>
      <c r="I12" s="10">
        <f>IF(Anlagen!I12=0,0,kW_el!I12/Anlagen!I12)</f>
        <v>244.06451612903226</v>
      </c>
      <c r="J12" s="10">
        <f>IF(Anlagen!J12=0,0,kW_el!J12/Anlagen!J12)</f>
        <v>265.3658536585366</v>
      </c>
      <c r="K12" s="10">
        <f>IF(Anlagen!K12=0,0,kW_el!K12/Anlagen!K12)</f>
        <v>312.4347826086956</v>
      </c>
      <c r="L12" s="10">
        <f>IF(Anlagen!L12=0,0,kW_el!L12/Anlagen!L12)</f>
        <v>298.1224489795918</v>
      </c>
      <c r="M12" s="33">
        <f>IF(Anlagen!M12=0,0,kW_el!M12/Anlagen!M12)</f>
        <v>294.8679245283019</v>
      </c>
      <c r="N12" s="33">
        <f>IF(Anlagen!N12=0,0,kW_el!N12/Anlagen!N12)</f>
        <v>303.75</v>
      </c>
      <c r="O12" s="33">
        <f>IF(Anlagen!O12=0,0,kW_el!O12/Anlagen!O12)</f>
        <v>297.2413793103448</v>
      </c>
      <c r="P12" s="33">
        <f>IF(Anlagen!P12=0,0,kW_el!P12/Anlagen!P12)</f>
        <v>289.8333333333333</v>
      </c>
      <c r="Q12" s="33">
        <f>IF(Anlagen!Q12=0,0,kW_el!Q12/Anlagen!Q12)</f>
        <v>305.655737704918</v>
      </c>
    </row>
    <row r="13" spans="1:17" ht="12.75">
      <c r="A13" s="2">
        <v>10</v>
      </c>
      <c r="B13" s="63">
        <v>128</v>
      </c>
      <c r="C13" s="3" t="s">
        <v>38</v>
      </c>
      <c r="D13" s="46">
        <f>IF(Anlagen!D13=0,0,kW_el!D13/Anlagen!D13)</f>
        <v>92</v>
      </c>
      <c r="E13" s="10">
        <f>IF(Anlagen!E13=0,0,kW_el!E13/Anlagen!E13)</f>
        <v>136.66666666666666</v>
      </c>
      <c r="F13" s="10">
        <f>IF(Anlagen!F13=0,0,kW_el!F13/Anlagen!F13)</f>
        <v>192.85714285714286</v>
      </c>
      <c r="G13" s="10">
        <f>IF(Anlagen!G13=0,0,kW_el!G13/Anlagen!G13)</f>
        <v>246.66666666666666</v>
      </c>
      <c r="H13" s="10">
        <f>IF(Anlagen!H13=0,0,kW_el!H13/Anlagen!H13)</f>
        <v>215</v>
      </c>
      <c r="I13" s="10">
        <f>IF(Anlagen!I13=0,0,kW_el!I13/Anlagen!I13)</f>
        <v>251.75</v>
      </c>
      <c r="J13" s="10">
        <f>IF(Anlagen!J13=0,0,kW_el!J13/Anlagen!J13)</f>
        <v>251.4</v>
      </c>
      <c r="K13" s="10">
        <f>IF(Anlagen!K13=0,0,kW_el!K13/Anlagen!K13)</f>
        <v>280</v>
      </c>
      <c r="L13" s="10">
        <f>IF(Anlagen!L13=0,0,kW_el!L13/Anlagen!L13)</f>
        <v>280</v>
      </c>
      <c r="M13" s="33">
        <f>IF(Anlagen!M13=0,0,kW_el!M13/Anlagen!M13)</f>
        <v>251.5625</v>
      </c>
      <c r="N13" s="33">
        <f>IF(Anlagen!N13=0,0,kW_el!N13/Anlagen!N13)</f>
        <v>387.875</v>
      </c>
      <c r="O13" s="33">
        <f>IF(Anlagen!O13=0,0,kW_el!O13/Anlagen!O13)</f>
        <v>391</v>
      </c>
      <c r="P13" s="33">
        <f>IF(Anlagen!P13=0,0,kW_el!P13/Anlagen!P13)</f>
        <v>369.7647058823529</v>
      </c>
      <c r="Q13" s="33">
        <f>IF(Anlagen!Q13=0,0,kW_el!Q13/Anlagen!Q13)</f>
        <v>372.4117647058824</v>
      </c>
    </row>
    <row r="14" spans="1:17" ht="12.75">
      <c r="A14" s="2">
        <v>11</v>
      </c>
      <c r="B14" s="62">
        <v>135</v>
      </c>
      <c r="C14" s="2" t="s">
        <v>19</v>
      </c>
      <c r="D14" s="46">
        <f>IF(Anlagen!D14=0,0,kW_el!D14/Anlagen!D14)</f>
        <v>76.36363636363636</v>
      </c>
      <c r="E14" s="10">
        <f>IF(Anlagen!E14=0,0,kW_el!E14/Anlagen!E14)</f>
        <v>113.84615384615384</v>
      </c>
      <c r="F14" s="10">
        <f>IF(Anlagen!F14=0,0,kW_el!F14/Anlagen!F14)</f>
        <v>127</v>
      </c>
      <c r="G14" s="10">
        <f>IF(Anlagen!G14=0,0,kW_el!G14/Anlagen!G14)</f>
        <v>127</v>
      </c>
      <c r="H14" s="10">
        <f>IF(Anlagen!H14=0,0,kW_el!H14/Anlagen!H14)</f>
        <v>131</v>
      </c>
      <c r="I14" s="10">
        <f>IF(Anlagen!I14=0,0,kW_el!I14/Anlagen!I14)</f>
        <v>175.77777777777777</v>
      </c>
      <c r="J14" s="10">
        <f>IF(Anlagen!J14=0,0,kW_el!J14/Anlagen!J14)</f>
        <v>162.8</v>
      </c>
      <c r="K14" s="10">
        <f>IF(Anlagen!K14=0,0,kW_el!K14/Anlagen!K14)</f>
        <v>200.6153846153846</v>
      </c>
      <c r="L14" s="10">
        <f>IF(Anlagen!L14=0,0,kW_el!L14/Anlagen!L14)</f>
        <v>200.22222222222223</v>
      </c>
      <c r="M14" s="33">
        <f>IF(Anlagen!M14=0,0,kW_el!M14/Anlagen!M14)</f>
        <v>220.20689655172413</v>
      </c>
      <c r="N14" s="33">
        <f>IF(Anlagen!N14=0,0,kW_el!N14/Anlagen!N14)</f>
        <v>247.82758620689654</v>
      </c>
      <c r="O14" s="33">
        <f>IF(Anlagen!O14=0,0,kW_el!O14/Anlagen!O14)</f>
        <v>254.20689655172413</v>
      </c>
      <c r="P14" s="33">
        <f>IF(Anlagen!P14=0,0,kW_el!P14/Anlagen!P14)</f>
        <v>241.51612903225808</v>
      </c>
      <c r="Q14" s="33">
        <f>IF(Anlagen!Q14=0,0,kW_el!Q14/Anlagen!Q14)</f>
        <v>260.5</v>
      </c>
    </row>
    <row r="15" spans="1:17" ht="12.75">
      <c r="A15" s="2">
        <v>12</v>
      </c>
      <c r="B15" s="67">
        <v>136</v>
      </c>
      <c r="C15" s="43" t="s">
        <v>17</v>
      </c>
      <c r="D15" s="47">
        <f>IF(Anlagen!D15=0,0,kW_el!D15/Anlagen!D15)</f>
        <v>135</v>
      </c>
      <c r="E15" s="44">
        <f>IF(Anlagen!E15=0,0,kW_el!E15/Anlagen!E15)</f>
        <v>163.75</v>
      </c>
      <c r="F15" s="44">
        <f>IF(Anlagen!F15=0,0,kW_el!F15/Anlagen!F15)</f>
        <v>244</v>
      </c>
      <c r="G15" s="44">
        <f>IF(Anlagen!G15=0,0,kW_el!G15/Anlagen!G15)</f>
        <v>267</v>
      </c>
      <c r="H15" s="44">
        <f>IF(Anlagen!H15=0,0,kW_el!H15/Anlagen!H15)</f>
        <v>288.1818181818182</v>
      </c>
      <c r="I15" s="44">
        <f>IF(Anlagen!I15=0,0,kW_el!I15/Anlagen!I15)</f>
        <v>311.1666666666667</v>
      </c>
      <c r="J15" s="44">
        <f>IF(Anlagen!J15=0,0,kW_el!J15/Anlagen!J15)</f>
        <v>316.875</v>
      </c>
      <c r="K15" s="44">
        <f>IF(Anlagen!K15=0,0,kW_el!K15/Anlagen!K15)</f>
        <v>312</v>
      </c>
      <c r="L15" s="44">
        <f>IF(Anlagen!L15=0,0,kW_el!L15/Anlagen!L15)</f>
        <v>314.04761904761904</v>
      </c>
      <c r="M15" s="45">
        <f>IF(Anlagen!M15=0,0,kW_el!M15/Anlagen!M15)</f>
        <v>344.4642857142857</v>
      </c>
      <c r="N15" s="45">
        <f>IF(Anlagen!N15=0,0,kW_el!N15/Anlagen!N15)</f>
        <v>353.2142857142857</v>
      </c>
      <c r="O15" s="45">
        <f>IF(Anlagen!O15=0,0,kW_el!O15/Anlagen!O15)</f>
        <v>339.3333333333333</v>
      </c>
      <c r="P15" s="45">
        <f>IF(Anlagen!P15=0,0,kW_el!P15/Anlagen!P15)</f>
        <v>308.2352941176471</v>
      </c>
      <c r="Q15" s="45">
        <f>IF(Anlagen!Q15=0,0,kW_el!Q15/Anlagen!Q15)</f>
        <v>281.5</v>
      </c>
    </row>
    <row r="16" spans="1:17" ht="12.75">
      <c r="A16" s="2">
        <v>13</v>
      </c>
      <c r="B16" s="62">
        <v>215</v>
      </c>
      <c r="C16" s="2" t="s">
        <v>28</v>
      </c>
      <c r="D16" s="46">
        <f>IF(Anlagen!D16=0,0,kW_el!D16/Anlagen!D16)</f>
        <v>110</v>
      </c>
      <c r="E16" s="10">
        <f>IF(Anlagen!E16=0,0,kW_el!E16/Anlagen!E16)</f>
        <v>240</v>
      </c>
      <c r="F16" s="10">
        <f>IF(Anlagen!F16=0,0,kW_el!F16/Anlagen!F16)</f>
        <v>240</v>
      </c>
      <c r="G16" s="10">
        <f>IF(Anlagen!G16=0,0,kW_el!G16/Anlagen!G16)</f>
        <v>240</v>
      </c>
      <c r="H16" s="10">
        <f>IF(Anlagen!H16=0,0,kW_el!H16/Anlagen!H16)</f>
        <v>240</v>
      </c>
      <c r="I16" s="10">
        <f>IF(Anlagen!I16=0,0,kW_el!I16/Anlagen!I16)</f>
        <v>277.25</v>
      </c>
      <c r="J16" s="10">
        <f>IF(Anlagen!J16=0,0,kW_el!J16/Anlagen!J16)</f>
        <v>276</v>
      </c>
      <c r="K16" s="10">
        <f>IF(Anlagen!K16=0,0,kW_el!K16/Anlagen!K16)</f>
        <v>349.3333333333333</v>
      </c>
      <c r="L16" s="10">
        <f>IF(Anlagen!L16=0,0,kW_el!L16/Anlagen!L16)</f>
        <v>283.3333333333333</v>
      </c>
      <c r="M16" s="33">
        <f>IF(Anlagen!M16=0,0,kW_el!M16/Anlagen!M16)</f>
        <v>448.7142857142857</v>
      </c>
      <c r="N16" s="33">
        <f>IF(Anlagen!N16=0,0,kW_el!N16/Anlagen!N16)</f>
        <v>448.7142857142857</v>
      </c>
      <c r="O16" s="33">
        <f>IF(Anlagen!O16=0,0,kW_el!O16/Anlagen!O16)</f>
        <v>448.7142857142857</v>
      </c>
      <c r="P16" s="33">
        <f>IF(Anlagen!P16=0,0,kW_el!P16/Anlagen!P16)</f>
        <v>448.7142857142857</v>
      </c>
      <c r="Q16" s="33">
        <f>IF(Anlagen!Q16=0,0,kW_el!Q16/Anlagen!Q16)</f>
        <v>402</v>
      </c>
    </row>
    <row r="17" spans="1:17" ht="12.75">
      <c r="A17" s="2">
        <v>14</v>
      </c>
      <c r="B17" s="62">
        <v>216</v>
      </c>
      <c r="C17" s="2" t="s">
        <v>33</v>
      </c>
      <c r="D17" s="46">
        <f>IF(Anlagen!D17=0,0,kW_el!D17/Anlagen!D17)</f>
        <v>0</v>
      </c>
      <c r="E17" s="10">
        <f>IF(Anlagen!E17=0,0,kW_el!E17/Anlagen!E17)</f>
        <v>0</v>
      </c>
      <c r="F17" s="10">
        <f>IF(Anlagen!F17=0,0,kW_el!F17/Anlagen!F17)</f>
        <v>250</v>
      </c>
      <c r="G17" s="10">
        <f>IF(Anlagen!G17=0,0,kW_el!G17/Anlagen!G17)</f>
        <v>750</v>
      </c>
      <c r="H17" s="10">
        <f>IF(Anlagen!H17=0,0,kW_el!H17/Anlagen!H17)</f>
        <v>750</v>
      </c>
      <c r="I17" s="10">
        <f>IF(Anlagen!I17=0,0,kW_el!I17/Anlagen!I17)</f>
        <v>740</v>
      </c>
      <c r="J17" s="10">
        <f>IF(Anlagen!J17=0,0,kW_el!J17/Anlagen!J17)</f>
        <v>740</v>
      </c>
      <c r="K17" s="10">
        <f>IF(Anlagen!K17=0,0,kW_el!K17/Anlagen!K17)</f>
        <v>717.6666666666666</v>
      </c>
      <c r="L17" s="10">
        <f>IF(Anlagen!L17=0,0,kW_el!L17/Anlagen!L17)</f>
        <v>717.6666666666666</v>
      </c>
      <c r="M17" s="33">
        <f>IF(Anlagen!M17=0,0,kW_el!M17/Anlagen!M17)</f>
        <v>636.6</v>
      </c>
      <c r="N17" s="33">
        <f>IF(Anlagen!N17=0,0,kW_el!N17/Anlagen!N17)</f>
        <v>636.6</v>
      </c>
      <c r="O17" s="33">
        <f>IF(Anlagen!O17=0,0,kW_el!O17/Anlagen!O17)</f>
        <v>636.6</v>
      </c>
      <c r="P17" s="33">
        <f>IF(Anlagen!P17=0,0,kW_el!P17/Anlagen!P17)</f>
        <v>636.6</v>
      </c>
      <c r="Q17" s="33">
        <f>IF(Anlagen!Q17=0,0,kW_el!Q17/Anlagen!Q17)</f>
        <v>636.6</v>
      </c>
    </row>
    <row r="18" spans="1:17" ht="12.75">
      <c r="A18" s="2">
        <v>15</v>
      </c>
      <c r="B18" s="62">
        <v>225</v>
      </c>
      <c r="C18" s="2" t="s">
        <v>27</v>
      </c>
      <c r="D18" s="46">
        <f>IF(Anlagen!D18=0,0,kW_el!D18/Anlagen!D18)</f>
        <v>190</v>
      </c>
      <c r="E18" s="10">
        <f>IF(Anlagen!E18=0,0,kW_el!E18/Anlagen!E18)</f>
        <v>215</v>
      </c>
      <c r="F18" s="10">
        <f>IF(Anlagen!F18=0,0,kW_el!F18/Anlagen!F18)</f>
        <v>420</v>
      </c>
      <c r="G18" s="10">
        <f>IF(Anlagen!G18=0,0,kW_el!G18/Anlagen!G18)</f>
        <v>420</v>
      </c>
      <c r="H18" s="10">
        <f>IF(Anlagen!H18=0,0,kW_el!H18/Anlagen!H18)</f>
        <v>536.6666666666666</v>
      </c>
      <c r="I18" s="10">
        <f>IF(Anlagen!I18=0,0,kW_el!I18/Anlagen!I18)</f>
        <v>546.1666666666666</v>
      </c>
      <c r="J18" s="10">
        <f>IF(Anlagen!J18=0,0,kW_el!J18/Anlagen!J18)</f>
        <v>642.5</v>
      </c>
      <c r="K18" s="10">
        <f>IF(Anlagen!K18=0,0,kW_el!K18/Anlagen!K18)</f>
        <v>498</v>
      </c>
      <c r="L18" s="10">
        <f>IF(Anlagen!L18=0,0,kW_el!L18/Anlagen!L18)</f>
        <v>513</v>
      </c>
      <c r="M18" s="33">
        <f>IF(Anlagen!M18=0,0,kW_el!M18/Anlagen!M18)</f>
        <v>513</v>
      </c>
      <c r="N18" s="33">
        <f>IF(Anlagen!N18=0,0,kW_el!N18/Anlagen!N18)</f>
        <v>444.1666666666667</v>
      </c>
      <c r="O18" s="33">
        <f>IF(Anlagen!O18=0,0,kW_el!O18/Anlagen!O18)</f>
        <v>415.7692307692308</v>
      </c>
      <c r="P18" s="33">
        <f>IF(Anlagen!P18=0,0,kW_el!P18/Anlagen!P18)</f>
        <v>370.3333333333333</v>
      </c>
      <c r="Q18" s="33">
        <f>IF(Anlagen!Q18=0,0,kW_el!Q18/Anlagen!Q18)</f>
        <v>351.875</v>
      </c>
    </row>
    <row r="19" spans="1:17" ht="12.75">
      <c r="A19" s="2">
        <v>16</v>
      </c>
      <c r="B19" s="62">
        <v>226</v>
      </c>
      <c r="C19" s="2" t="s">
        <v>31</v>
      </c>
      <c r="D19" s="46">
        <f>IF(Anlagen!D19=0,0,kW_el!D19/Anlagen!D19)</f>
        <v>187</v>
      </c>
      <c r="E19" s="10">
        <f>IF(Anlagen!E19=0,0,kW_el!E19/Anlagen!E19)</f>
        <v>187</v>
      </c>
      <c r="F19" s="10">
        <f>IF(Anlagen!F19=0,0,kW_el!F19/Anlagen!F19)</f>
        <v>275.7142857142857</v>
      </c>
      <c r="G19" s="10">
        <f>IF(Anlagen!G19=0,0,kW_el!G19/Anlagen!G19)</f>
        <v>275</v>
      </c>
      <c r="H19" s="10">
        <f>IF(Anlagen!H19=0,0,kW_el!H19/Anlagen!H19)</f>
        <v>272.22222222222223</v>
      </c>
      <c r="I19" s="10">
        <f>IF(Anlagen!I19=0,0,kW_el!I19/Anlagen!I19)</f>
        <v>303.3333333333333</v>
      </c>
      <c r="J19" s="10">
        <f>IF(Anlagen!J19=0,0,kW_el!J19/Anlagen!J19)</f>
        <v>352.22222222222223</v>
      </c>
      <c r="K19" s="10">
        <f>IF(Anlagen!K19=0,0,kW_el!K19/Anlagen!K19)</f>
        <v>411</v>
      </c>
      <c r="L19" s="10">
        <f>IF(Anlagen!L19=0,0,kW_el!L19/Anlagen!L19)</f>
        <v>421</v>
      </c>
      <c r="M19" s="33">
        <f>IF(Anlagen!M19=0,0,kW_el!M19/Anlagen!M19)</f>
        <v>389.54545454545456</v>
      </c>
      <c r="N19" s="33">
        <f>IF(Anlagen!N19=0,0,kW_el!N19/Anlagen!N19)</f>
        <v>363.46153846153845</v>
      </c>
      <c r="O19" s="33">
        <f>IF(Anlagen!O19=0,0,kW_el!O19/Anlagen!O19)</f>
        <v>363.46153846153845</v>
      </c>
      <c r="P19" s="33">
        <f>IF(Anlagen!P19=0,0,kW_el!P19/Anlagen!P19)</f>
        <v>342.85714285714283</v>
      </c>
      <c r="Q19" s="33">
        <f>IF(Anlagen!Q19=0,0,kW_el!Q19/Anlagen!Q19)</f>
        <v>342.85714285714283</v>
      </c>
    </row>
    <row r="20" spans="1:17" ht="12.75">
      <c r="A20" s="2">
        <v>17</v>
      </c>
      <c r="B20" s="62">
        <v>235</v>
      </c>
      <c r="C20" s="2" t="s">
        <v>32</v>
      </c>
      <c r="D20" s="46">
        <f>IF(Anlagen!D20=0,0,kW_el!D20/Anlagen!D20)</f>
        <v>30</v>
      </c>
      <c r="E20" s="10">
        <f>IF(Anlagen!E20=0,0,kW_el!E20/Anlagen!E20)</f>
        <v>30</v>
      </c>
      <c r="F20" s="10">
        <f>IF(Anlagen!F20=0,0,kW_el!F20/Anlagen!F20)</f>
        <v>110</v>
      </c>
      <c r="G20" s="10">
        <f>IF(Anlagen!G20=0,0,kW_el!G20/Anlagen!G20)</f>
        <v>110</v>
      </c>
      <c r="H20" s="10">
        <f>IF(Anlagen!H20=0,0,kW_el!H20/Anlagen!H20)</f>
        <v>110</v>
      </c>
      <c r="I20" s="10">
        <f>IF(Anlagen!I20=0,0,kW_el!I20/Anlagen!I20)</f>
        <v>145</v>
      </c>
      <c r="J20" s="10">
        <f>IF(Anlagen!J20=0,0,kW_el!J20/Anlagen!J20)</f>
        <v>160</v>
      </c>
      <c r="K20" s="10">
        <f>IF(Anlagen!K20=0,0,kW_el!K20/Anlagen!K20)</f>
        <v>227.14285714285714</v>
      </c>
      <c r="L20" s="10">
        <f>IF(Anlagen!L20=0,0,kW_el!L20/Anlagen!L20)</f>
        <v>231.42857142857142</v>
      </c>
      <c r="M20" s="33">
        <f>IF(Anlagen!M20=0,0,kW_el!M20/Anlagen!M20)</f>
        <v>196.66666666666666</v>
      </c>
      <c r="N20" s="33">
        <f>IF(Anlagen!N20=0,0,kW_el!N20/Anlagen!N20)</f>
        <v>212.77777777777777</v>
      </c>
      <c r="O20" s="33">
        <f>IF(Anlagen!O20=0,0,kW_el!O20/Anlagen!O20)</f>
        <v>212.77777777777777</v>
      </c>
      <c r="P20" s="33">
        <f>IF(Anlagen!P20=0,0,kW_el!P20/Anlagen!P20)</f>
        <v>212.77777777777777</v>
      </c>
      <c r="Q20" s="33">
        <f>IF(Anlagen!Q20=0,0,kW_el!Q20/Anlagen!Q20)</f>
        <v>212.77777777777777</v>
      </c>
    </row>
    <row r="21" spans="1:17" ht="12.75">
      <c r="A21" s="2">
        <v>18</v>
      </c>
      <c r="B21" s="62">
        <v>236</v>
      </c>
      <c r="C21" s="2" t="s">
        <v>30</v>
      </c>
      <c r="D21" s="46">
        <f>IF(Anlagen!D21=0,0,kW_el!D21/Anlagen!D21)</f>
        <v>32.5</v>
      </c>
      <c r="E21" s="10">
        <f>IF(Anlagen!E21=0,0,kW_el!E21/Anlagen!E21)</f>
        <v>32.5</v>
      </c>
      <c r="F21" s="10">
        <f>IF(Anlagen!F21=0,0,kW_el!F21/Anlagen!F21)</f>
        <v>58.333333333333336</v>
      </c>
      <c r="G21" s="10">
        <f>IF(Anlagen!G21=0,0,kW_el!G21/Anlagen!G21)</f>
        <v>327.5</v>
      </c>
      <c r="H21" s="10">
        <f>IF(Anlagen!H21=0,0,kW_el!H21/Anlagen!H21)</f>
        <v>494.1666666666667</v>
      </c>
      <c r="I21" s="10">
        <f>IF(Anlagen!I21=0,0,kW_el!I21/Anlagen!I21)</f>
        <v>497.3333333333333</v>
      </c>
      <c r="J21" s="10">
        <f>IF(Anlagen!J21=0,0,kW_el!J21/Anlagen!J21)</f>
        <v>520.5714285714286</v>
      </c>
      <c r="K21" s="10">
        <f>IF(Anlagen!K21=0,0,kW_el!K21/Anlagen!K21)</f>
        <v>520.5714285714286</v>
      </c>
      <c r="L21" s="10">
        <f>IF(Anlagen!L21=0,0,kW_el!L21/Anlagen!L21)</f>
        <v>520.5714285714286</v>
      </c>
      <c r="M21" s="33">
        <f>IF(Anlagen!M21=0,0,kW_el!M21/Anlagen!M21)</f>
        <v>605.3333333333334</v>
      </c>
      <c r="N21" s="33">
        <f>IF(Anlagen!N21=0,0,kW_el!N21/Anlagen!N21)</f>
        <v>605.3333333333334</v>
      </c>
      <c r="O21" s="33">
        <f>IF(Anlagen!O21=0,0,kW_el!O21/Anlagen!O21)</f>
        <v>605.3333333333334</v>
      </c>
      <c r="P21" s="33">
        <f>IF(Anlagen!P21=0,0,kW_el!P21/Anlagen!P21)</f>
        <v>605.3333333333334</v>
      </c>
      <c r="Q21" s="33">
        <f>IF(Anlagen!Q21=0,0,kW_el!Q21/Anlagen!Q21)</f>
        <v>605.3333333333334</v>
      </c>
    </row>
    <row r="22" spans="1:17" ht="12.75">
      <c r="A22" s="2">
        <v>19</v>
      </c>
      <c r="B22" s="67">
        <v>237</v>
      </c>
      <c r="C22" s="43" t="s">
        <v>29</v>
      </c>
      <c r="D22" s="47">
        <f>IF(Anlagen!D22=0,0,kW_el!D22/Anlagen!D22)</f>
        <v>80.66666666666667</v>
      </c>
      <c r="E22" s="44">
        <f>IF(Anlagen!E22=0,0,kW_el!E22/Anlagen!E22)</f>
        <v>106.4</v>
      </c>
      <c r="F22" s="44">
        <f>IF(Anlagen!F22=0,0,kW_el!F22/Anlagen!F22)</f>
        <v>160.4</v>
      </c>
      <c r="G22" s="44">
        <f>IF(Anlagen!G22=0,0,kW_el!G22/Anlagen!G22)</f>
        <v>199.11111111111111</v>
      </c>
      <c r="H22" s="44">
        <f>IF(Anlagen!H22=0,0,kW_el!H22/Anlagen!H22)</f>
        <v>204.2</v>
      </c>
      <c r="I22" s="44">
        <f>IF(Anlagen!I22=0,0,kW_el!I22/Anlagen!I22)</f>
        <v>207.0909090909091</v>
      </c>
      <c r="J22" s="44">
        <f>IF(Anlagen!J22=0,0,kW_el!J22/Anlagen!J22)</f>
        <v>217.36363636363637</v>
      </c>
      <c r="K22" s="44">
        <f>IF(Anlagen!K22=0,0,kW_el!K22/Anlagen!K22)</f>
        <v>247.58333333333334</v>
      </c>
      <c r="L22" s="44">
        <f>IF(Anlagen!L22=0,0,kW_el!L22/Anlagen!L22)</f>
        <v>234.30769230769232</v>
      </c>
      <c r="M22" s="45">
        <f>IF(Anlagen!M22=0,0,kW_el!M22/Anlagen!M22)</f>
        <v>331.14285714285717</v>
      </c>
      <c r="N22" s="45">
        <f>IF(Anlagen!N22=0,0,kW_el!N22/Anlagen!N22)</f>
        <v>331.14285714285717</v>
      </c>
      <c r="O22" s="45">
        <f>IF(Anlagen!O22=0,0,kW_el!O22/Anlagen!O22)</f>
        <v>331.14285714285717</v>
      </c>
      <c r="P22" s="45">
        <f>IF(Anlagen!P22=0,0,kW_el!P22/Anlagen!P22)</f>
        <v>299.125</v>
      </c>
      <c r="Q22" s="45">
        <f>IF(Anlagen!Q22=0,0,kW_el!Q22/Anlagen!Q22)</f>
        <v>295.3529411764706</v>
      </c>
    </row>
    <row r="23" spans="1:17" ht="12.75">
      <c r="A23" s="2">
        <v>20</v>
      </c>
      <c r="B23" s="62">
        <v>315</v>
      </c>
      <c r="C23" s="2" t="s">
        <v>2</v>
      </c>
      <c r="D23" s="46">
        <f>IF(Anlagen!D23=0,0,kW_el!D23/Anlagen!D23)</f>
        <v>70.71428571428571</v>
      </c>
      <c r="E23" s="10">
        <f>IF(Anlagen!E23=0,0,kW_el!E23/Anlagen!E23)</f>
        <v>97.22222222222223</v>
      </c>
      <c r="F23" s="10">
        <f>IF(Anlagen!F23=0,0,kW_el!F23/Anlagen!F23)</f>
        <v>129.5</v>
      </c>
      <c r="G23" s="10">
        <f>IF(Anlagen!G23=0,0,kW_el!G23/Anlagen!G23)</f>
        <v>129.5</v>
      </c>
      <c r="H23" s="10">
        <f>IF(Anlagen!H23=0,0,kW_el!H23/Anlagen!H23)</f>
        <v>129.5</v>
      </c>
      <c r="I23" s="10">
        <f>IF(Anlagen!I23=0,0,kW_el!I23/Anlagen!I23)</f>
        <v>129.5</v>
      </c>
      <c r="J23" s="10">
        <f>IF(Anlagen!J23=0,0,kW_el!J23/Anlagen!J23)</f>
        <v>129.5</v>
      </c>
      <c r="K23" s="10">
        <f>IF(Anlagen!K23=0,0,kW_el!K23/Anlagen!K23)</f>
        <v>327</v>
      </c>
      <c r="L23" s="10">
        <f>IF(Anlagen!L23=0,0,kW_el!L23/Anlagen!L23)</f>
        <v>362.22222222222223</v>
      </c>
      <c r="M23" s="33">
        <f>IF(Anlagen!M23=0,0,kW_el!M23/Anlagen!M23)</f>
        <v>503.5</v>
      </c>
      <c r="N23" s="33">
        <f>IF(Anlagen!N23=0,0,kW_el!N23/Anlagen!N23)</f>
        <v>553.5</v>
      </c>
      <c r="O23" s="33">
        <f>IF(Anlagen!O23=0,0,kW_el!O23/Anlagen!O23)</f>
        <v>553.5</v>
      </c>
      <c r="P23" s="33">
        <f>IF(Anlagen!P23=0,0,kW_el!P23/Anlagen!P23)</f>
        <v>553.5</v>
      </c>
      <c r="Q23" s="33">
        <f>IF(Anlagen!Q23=0,0,kW_el!Q23/Anlagen!Q23)</f>
        <v>553.5</v>
      </c>
    </row>
    <row r="24" spans="1:17" s="3" customFormat="1" ht="12.75">
      <c r="A24" s="2">
        <v>21</v>
      </c>
      <c r="B24" s="62">
        <v>316</v>
      </c>
      <c r="C24" s="2" t="s">
        <v>1</v>
      </c>
      <c r="D24" s="46">
        <f>IF(Anlagen!D24=0,0,kW_el!D24/Anlagen!D24)</f>
        <v>170</v>
      </c>
      <c r="E24" s="10">
        <f>IF(Anlagen!E24=0,0,kW_el!E24/Anlagen!E24)</f>
        <v>190</v>
      </c>
      <c r="F24" s="10">
        <f>IF(Anlagen!F24=0,0,kW_el!F24/Anlagen!F24)</f>
        <v>607.5</v>
      </c>
      <c r="G24" s="10">
        <f>IF(Anlagen!G24=0,0,kW_el!G24/Anlagen!G24)</f>
        <v>524</v>
      </c>
      <c r="H24" s="10">
        <f>IF(Anlagen!H24=0,0,kW_el!H24/Anlagen!H24)</f>
        <v>524</v>
      </c>
      <c r="I24" s="10">
        <f>IF(Anlagen!I24=0,0,kW_el!I24/Anlagen!I24)</f>
        <v>458.3333333333333</v>
      </c>
      <c r="J24" s="10">
        <f>IF(Anlagen!J24=0,0,kW_el!J24/Anlagen!J24)</f>
        <v>467.14285714285717</v>
      </c>
      <c r="K24" s="10">
        <f>IF(Anlagen!K24=0,0,kW_el!K24/Anlagen!K24)</f>
        <v>575</v>
      </c>
      <c r="L24" s="10">
        <f>IF(Anlagen!L24=0,0,kW_el!L24/Anlagen!L24)</f>
        <v>583.75</v>
      </c>
      <c r="M24" s="33">
        <f>IF(Anlagen!M24=0,0,kW_el!M24/Anlagen!M24)</f>
        <v>583.75</v>
      </c>
      <c r="N24" s="33">
        <f>IF(Anlagen!N24=0,0,kW_el!N24/Anlagen!N24)</f>
        <v>705.3333333333334</v>
      </c>
      <c r="O24" s="33">
        <f>IF(Anlagen!O24=0,0,kW_el!O24/Anlagen!O24)</f>
        <v>705.3333333333334</v>
      </c>
      <c r="P24" s="33">
        <f>IF(Anlagen!P24=0,0,kW_el!P24/Anlagen!P24)</f>
        <v>705.3333333333334</v>
      </c>
      <c r="Q24" s="33">
        <f>IF(Anlagen!Q24=0,0,kW_el!Q24/Anlagen!Q24)</f>
        <v>705.3333333333334</v>
      </c>
    </row>
    <row r="25" spans="1:17" ht="12.75">
      <c r="A25" s="2">
        <v>22</v>
      </c>
      <c r="B25" s="62">
        <v>317</v>
      </c>
      <c r="C25" s="2" t="s">
        <v>3</v>
      </c>
      <c r="D25" s="46">
        <f>IF(Anlagen!D25=0,0,kW_el!D25/Anlagen!D25)</f>
        <v>40</v>
      </c>
      <c r="E25" s="10">
        <f>IF(Anlagen!E25=0,0,kW_el!E25/Anlagen!E25)</f>
        <v>138</v>
      </c>
      <c r="F25" s="10">
        <f>IF(Anlagen!F25=0,0,kW_el!F25/Anlagen!F25)</f>
        <v>278.3333333333333</v>
      </c>
      <c r="G25" s="10">
        <f>IF(Anlagen!G25=0,0,kW_el!G25/Anlagen!G25)</f>
        <v>278.3333333333333</v>
      </c>
      <c r="H25" s="10">
        <f>IF(Anlagen!H25=0,0,kW_el!H25/Anlagen!H25)</f>
        <v>278.3333333333333</v>
      </c>
      <c r="I25" s="10">
        <f>IF(Anlagen!I25=0,0,kW_el!I25/Anlagen!I25)</f>
        <v>320.45454545454544</v>
      </c>
      <c r="J25" s="10">
        <f>IF(Anlagen!J25=0,0,kW_el!J25/Anlagen!J25)</f>
        <v>327.5</v>
      </c>
      <c r="K25" s="10">
        <f>IF(Anlagen!K25=0,0,kW_el!K25/Anlagen!K25)</f>
        <v>376.8181818181818</v>
      </c>
      <c r="L25" s="10">
        <f>IF(Anlagen!L25=0,0,kW_el!L25/Anlagen!L25)</f>
        <v>366.25</v>
      </c>
      <c r="M25" s="33">
        <f>IF(Anlagen!M25=0,0,kW_el!M25/Anlagen!M25)</f>
        <v>365.90909090909093</v>
      </c>
      <c r="N25" s="33">
        <f>IF(Anlagen!N25=0,0,kW_el!N25/Anlagen!N25)</f>
        <v>365.90909090909093</v>
      </c>
      <c r="O25" s="33">
        <f>IF(Anlagen!O25=0,0,kW_el!O25/Anlagen!O25)</f>
        <v>368.6363636363636</v>
      </c>
      <c r="P25" s="33">
        <f>IF(Anlagen!P25=0,0,kW_el!P25/Anlagen!P25)</f>
        <v>368.6363636363636</v>
      </c>
      <c r="Q25" s="33">
        <f>IF(Anlagen!Q25=0,0,kW_el!Q25/Anlagen!Q25)</f>
        <v>387.72727272727275</v>
      </c>
    </row>
    <row r="26" spans="1:17" ht="12.75">
      <c r="A26" s="2">
        <v>23</v>
      </c>
      <c r="B26" s="62">
        <v>325</v>
      </c>
      <c r="C26" s="2" t="s">
        <v>4</v>
      </c>
      <c r="D26" s="46">
        <f>IF(Anlagen!D26=0,0,kW_el!D26/Anlagen!D26)</f>
        <v>133</v>
      </c>
      <c r="E26" s="10">
        <f>IF(Anlagen!E26=0,0,kW_el!E26/Anlagen!E26)</f>
        <v>181.8181818181818</v>
      </c>
      <c r="F26" s="10">
        <f>IF(Anlagen!F26=0,0,kW_el!F26/Anlagen!F26)</f>
        <v>238</v>
      </c>
      <c r="G26" s="10">
        <f>IF(Anlagen!G26=0,0,kW_el!G26/Anlagen!G26)</f>
        <v>313.95238095238096</v>
      </c>
      <c r="H26" s="10">
        <f>IF(Anlagen!H26=0,0,kW_el!H26/Anlagen!H26)</f>
        <v>309.9047619047619</v>
      </c>
      <c r="I26" s="10">
        <f>IF(Anlagen!I26=0,0,kW_el!I26/Anlagen!I26)</f>
        <v>315.8181818181818</v>
      </c>
      <c r="J26" s="10">
        <f>IF(Anlagen!J26=0,0,kW_el!J26/Anlagen!J26)</f>
        <v>353.4583333333333</v>
      </c>
      <c r="K26" s="10">
        <f>IF(Anlagen!K26=0,0,kW_el!K26/Anlagen!K26)</f>
        <v>347.03846153846155</v>
      </c>
      <c r="L26" s="10">
        <f>IF(Anlagen!L26=0,0,kW_el!L26/Anlagen!L26)</f>
        <v>392.25</v>
      </c>
      <c r="M26" s="33">
        <f>IF(Anlagen!M26=0,0,kW_el!M26/Anlagen!M26)</f>
        <v>392.25</v>
      </c>
      <c r="N26" s="33">
        <f>IF(Anlagen!N26=0,0,kW_el!N26/Anlagen!N26)</f>
        <v>396.85714285714283</v>
      </c>
      <c r="O26" s="33">
        <f>IF(Anlagen!O26=0,0,kW_el!O26/Anlagen!O26)</f>
        <v>396.85714285714283</v>
      </c>
      <c r="P26" s="33">
        <f>IF(Anlagen!P26=0,0,kW_el!P26/Anlagen!P26)</f>
        <v>396.85714285714283</v>
      </c>
      <c r="Q26" s="33">
        <f>IF(Anlagen!Q26=0,0,kW_el!Q26/Anlagen!Q26)</f>
        <v>396.85714285714283</v>
      </c>
    </row>
    <row r="27" spans="1:17" ht="12.75">
      <c r="A27" s="2">
        <v>24</v>
      </c>
      <c r="B27" s="62">
        <v>326</v>
      </c>
      <c r="C27" s="2" t="s">
        <v>0</v>
      </c>
      <c r="D27" s="46">
        <f>IF(Anlagen!D27=0,0,kW_el!D27/Anlagen!D27)</f>
        <v>66.52173913043478</v>
      </c>
      <c r="E27" s="10">
        <f>IF(Anlagen!E27=0,0,kW_el!E27/Anlagen!E27)</f>
        <v>118.2</v>
      </c>
      <c r="F27" s="10">
        <f>IF(Anlagen!F27=0,0,kW_el!F27/Anlagen!F27)</f>
        <v>158.38235294117646</v>
      </c>
      <c r="G27" s="10">
        <f>IF(Anlagen!G27=0,0,kW_el!G27/Anlagen!G27)</f>
        <v>188</v>
      </c>
      <c r="H27" s="10">
        <f>IF(Anlagen!H27=0,0,kW_el!H27/Anlagen!H27)</f>
        <v>195.71428571428572</v>
      </c>
      <c r="I27" s="10">
        <f>IF(Anlagen!I27=0,0,kW_el!I27/Anlagen!I27)</f>
        <v>216.66666666666666</v>
      </c>
      <c r="J27" s="10">
        <f>IF(Anlagen!J27=0,0,kW_el!J27/Anlagen!J27)</f>
        <v>234.35897435897436</v>
      </c>
      <c r="K27" s="10">
        <f>IF(Anlagen!K27=0,0,kW_el!K27/Anlagen!K27)</f>
        <v>240.09756097560975</v>
      </c>
      <c r="L27" s="10">
        <f>IF(Anlagen!L27=0,0,kW_el!L27/Anlagen!L27)</f>
        <v>245.46341463414635</v>
      </c>
      <c r="M27" s="33">
        <f>IF(Anlagen!M27=0,0,kW_el!M27/Anlagen!M27)</f>
        <v>245.46341463414635</v>
      </c>
      <c r="N27" s="33">
        <f>IF(Anlagen!N27=0,0,kW_el!N27/Anlagen!N27)</f>
        <v>254.61904761904762</v>
      </c>
      <c r="O27" s="33">
        <f>IF(Anlagen!O27=0,0,kW_el!O27/Anlagen!O27)</f>
        <v>254.61904761904762</v>
      </c>
      <c r="P27" s="33">
        <f>IF(Anlagen!P27=0,0,kW_el!P27/Anlagen!P27)</f>
        <v>250.4418604651163</v>
      </c>
      <c r="Q27" s="33">
        <f>IF(Anlagen!Q27=0,0,kW_el!Q27/Anlagen!Q27)</f>
        <v>251.13953488372093</v>
      </c>
    </row>
    <row r="28" spans="1:17" ht="12.75">
      <c r="A28" s="2">
        <v>25</v>
      </c>
      <c r="B28" s="62">
        <v>327</v>
      </c>
      <c r="C28" s="2" t="s">
        <v>6</v>
      </c>
      <c r="D28" s="46">
        <f>IF(Anlagen!D28=0,0,kW_el!D28/Anlagen!D28)</f>
        <v>104.0909090909091</v>
      </c>
      <c r="E28" s="10">
        <f>IF(Anlagen!E28=0,0,kW_el!E28/Anlagen!E28)</f>
        <v>125.38461538461539</v>
      </c>
      <c r="F28" s="10">
        <f>IF(Anlagen!F28=0,0,kW_el!F28/Anlagen!F28)</f>
        <v>167.5</v>
      </c>
      <c r="G28" s="10">
        <f>IF(Anlagen!G28=0,0,kW_el!G28/Anlagen!G28)</f>
        <v>197.64705882352942</v>
      </c>
      <c r="H28" s="10">
        <f>IF(Anlagen!H28=0,0,kW_el!H28/Anlagen!H28)</f>
        <v>219.7058823529412</v>
      </c>
      <c r="I28" s="10">
        <f>IF(Anlagen!I28=0,0,kW_el!I28/Anlagen!I28)</f>
        <v>245</v>
      </c>
      <c r="J28" s="10">
        <f>IF(Anlagen!J28=0,0,kW_el!J28/Anlagen!J28)</f>
        <v>275.25</v>
      </c>
      <c r="K28" s="10">
        <f>IF(Anlagen!K28=0,0,kW_el!K28/Anlagen!K28)</f>
        <v>300.75</v>
      </c>
      <c r="L28" s="10">
        <f>IF(Anlagen!L28=0,0,kW_el!L28/Anlagen!L28)</f>
        <v>319.5</v>
      </c>
      <c r="M28" s="33">
        <f>IF(Anlagen!M28=0,0,kW_el!M28/Anlagen!M28)</f>
        <v>312.6190476190476</v>
      </c>
      <c r="N28" s="33">
        <f>IF(Anlagen!N28=0,0,kW_el!N28/Anlagen!N28)</f>
        <v>332.04347826086956</v>
      </c>
      <c r="O28" s="33">
        <f>IF(Anlagen!O28=0,0,kW_el!O28/Anlagen!O28)</f>
        <v>332.04347826086956</v>
      </c>
      <c r="P28" s="33">
        <f>IF(Anlagen!P28=0,0,kW_el!P28/Anlagen!P28)</f>
        <v>321.3333333333333</v>
      </c>
      <c r="Q28" s="33">
        <f>IF(Anlagen!Q28=0,0,kW_el!Q28/Anlagen!Q28)</f>
        <v>321.3333333333333</v>
      </c>
    </row>
    <row r="29" spans="1:17" ht="12.75">
      <c r="A29" s="2">
        <v>26</v>
      </c>
      <c r="B29" s="62">
        <v>335</v>
      </c>
      <c r="C29" s="2" t="s">
        <v>5</v>
      </c>
      <c r="D29" s="46">
        <f>IF(Anlagen!D29=0,0,kW_el!D29/Anlagen!D29)</f>
        <v>328.3333333333333</v>
      </c>
      <c r="E29" s="10">
        <f>IF(Anlagen!E29=0,0,kW_el!E29/Anlagen!E29)</f>
        <v>292.85714285714283</v>
      </c>
      <c r="F29" s="10">
        <f>IF(Anlagen!F29=0,0,kW_el!F29/Anlagen!F29)</f>
        <v>323.2</v>
      </c>
      <c r="G29" s="10">
        <f>IF(Anlagen!G29=0,0,kW_el!G29/Anlagen!G29)</f>
        <v>304.2857142857143</v>
      </c>
      <c r="H29" s="10">
        <f>IF(Anlagen!H29=0,0,kW_el!H29/Anlagen!H29)</f>
        <v>314.64285714285717</v>
      </c>
      <c r="I29" s="10">
        <f>IF(Anlagen!I29=0,0,kW_el!I29/Anlagen!I29)</f>
        <v>351.0344827586207</v>
      </c>
      <c r="J29" s="10">
        <f>IF(Anlagen!J29=0,0,kW_el!J29/Anlagen!J29)</f>
        <v>352.6875</v>
      </c>
      <c r="K29" s="10">
        <f>IF(Anlagen!K29=0,0,kW_el!K29/Anlagen!K29)</f>
        <v>383.15625</v>
      </c>
      <c r="L29" s="10">
        <f>IF(Anlagen!L29=0,0,kW_el!L29/Anlagen!L29)</f>
        <v>375.9117647058824</v>
      </c>
      <c r="M29" s="33">
        <f>IF(Anlagen!M29=0,0,kW_el!M29/Anlagen!M29)</f>
        <v>385.47058823529414</v>
      </c>
      <c r="N29" s="33">
        <f>IF(Anlagen!N29=0,0,kW_el!N29/Anlagen!N29)</f>
        <v>367.8378378378378</v>
      </c>
      <c r="O29" s="33">
        <f>IF(Anlagen!O29=0,0,kW_el!O29/Anlagen!O29)</f>
        <v>367.8378378378378</v>
      </c>
      <c r="P29" s="33">
        <f>IF(Anlagen!P29=0,0,kW_el!P29/Anlagen!P29)</f>
        <v>367.8378378378378</v>
      </c>
      <c r="Q29" s="33">
        <f>IF(Anlagen!Q29=0,0,kW_el!Q29/Anlagen!Q29)</f>
        <v>370.4054054054054</v>
      </c>
    </row>
    <row r="30" spans="1:17" ht="12.75">
      <c r="A30" s="2">
        <v>27</v>
      </c>
      <c r="B30" s="62">
        <v>336</v>
      </c>
      <c r="C30" s="2" t="s">
        <v>37</v>
      </c>
      <c r="D30" s="46">
        <f>IF(Anlagen!D30=0,0,kW_el!D30/Anlagen!D30)</f>
        <v>0</v>
      </c>
      <c r="E30" s="10">
        <f>IF(Anlagen!E30=0,0,kW_el!E30/Anlagen!E30)</f>
        <v>0</v>
      </c>
      <c r="F30" s="10">
        <f>IF(Anlagen!F30=0,0,kW_el!F30/Anlagen!F30)</f>
        <v>0</v>
      </c>
      <c r="G30" s="10">
        <f>IF(Anlagen!G30=0,0,kW_el!G30/Anlagen!G30)</f>
        <v>0</v>
      </c>
      <c r="H30" s="10">
        <f>IF(Anlagen!H30=0,0,kW_el!H30/Anlagen!H30)</f>
        <v>0</v>
      </c>
      <c r="I30" s="10">
        <f>IF(Anlagen!I30=0,0,kW_el!I30/Anlagen!I30)</f>
        <v>0</v>
      </c>
      <c r="J30" s="10">
        <f>IF(Anlagen!J30=0,0,kW_el!J30/Anlagen!J30)</f>
        <v>0</v>
      </c>
      <c r="K30" s="10">
        <f>IF(Anlagen!K30=0,0,kW_el!K30/Anlagen!K30)</f>
        <v>300</v>
      </c>
      <c r="L30" s="10">
        <f>IF(Anlagen!L30=0,0,kW_el!L30/Anlagen!L30)</f>
        <v>300</v>
      </c>
      <c r="M30" s="33">
        <f>IF(Anlagen!M30=0,0,kW_el!M30/Anlagen!M30)</f>
        <v>300</v>
      </c>
      <c r="N30" s="33">
        <f>IF(Anlagen!N30=0,0,kW_el!N30/Anlagen!N30)</f>
        <v>300</v>
      </c>
      <c r="O30" s="33">
        <f>IF(Anlagen!O30=0,0,kW_el!O30/Anlagen!O30)</f>
        <v>300</v>
      </c>
      <c r="P30" s="33">
        <f>IF(Anlagen!P30=0,0,kW_el!P30/Anlagen!P30)</f>
        <v>300</v>
      </c>
      <c r="Q30" s="33">
        <f>IF(Anlagen!Q30=0,0,kW_el!Q30/Anlagen!Q30)</f>
        <v>300</v>
      </c>
    </row>
    <row r="31" spans="1:17" ht="12.75">
      <c r="A31" s="2">
        <v>28</v>
      </c>
      <c r="B31" s="67">
        <v>337</v>
      </c>
      <c r="C31" s="43" t="s">
        <v>7</v>
      </c>
      <c r="D31" s="47">
        <f>IF(Anlagen!D31=0,0,kW_el!D31/Anlagen!D31)</f>
        <v>61.666666666666664</v>
      </c>
      <c r="E31" s="44">
        <f>IF(Anlagen!E31=0,0,kW_el!E31/Anlagen!E31)</f>
        <v>82.10526315789474</v>
      </c>
      <c r="F31" s="44">
        <f>IF(Anlagen!F31=0,0,kW_el!F31/Anlagen!F31)</f>
        <v>134.3181818181818</v>
      </c>
      <c r="G31" s="44">
        <f>IF(Anlagen!G31=0,0,kW_el!G31/Anlagen!G31)</f>
        <v>139.80769230769232</v>
      </c>
      <c r="H31" s="44">
        <f>IF(Anlagen!H31=0,0,kW_el!H31/Anlagen!H31)</f>
        <v>160.3846153846154</v>
      </c>
      <c r="I31" s="44">
        <f>IF(Anlagen!I31=0,0,kW_el!I31/Anlagen!I31)</f>
        <v>175.35714285714286</v>
      </c>
      <c r="J31" s="44">
        <f>IF(Anlagen!J31=0,0,kW_el!J31/Anlagen!J31)</f>
        <v>186.72413793103448</v>
      </c>
      <c r="K31" s="44">
        <f>IF(Anlagen!K31=0,0,kW_el!K31/Anlagen!K31)</f>
        <v>189.83333333333334</v>
      </c>
      <c r="L31" s="44">
        <f>IF(Anlagen!L31=0,0,kW_el!L31/Anlagen!L31)</f>
        <v>218.28125</v>
      </c>
      <c r="M31" s="45">
        <f>IF(Anlagen!M31=0,0,kW_el!M31/Anlagen!M31)</f>
        <v>221.40625</v>
      </c>
      <c r="N31" s="45">
        <f>IF(Anlagen!N31=0,0,kW_el!N31/Anlagen!N31)</f>
        <v>219.05405405405406</v>
      </c>
      <c r="O31" s="45">
        <f>IF(Anlagen!O31=0,0,kW_el!O31/Anlagen!O31)</f>
        <v>220.13513513513513</v>
      </c>
      <c r="P31" s="45">
        <f>IF(Anlagen!P31=0,0,kW_el!P31/Anlagen!P31)</f>
        <v>216.31578947368422</v>
      </c>
      <c r="Q31" s="45">
        <f>IF(Anlagen!Q31=0,0,kW_el!Q31/Anlagen!Q31)</f>
        <v>216.31578947368422</v>
      </c>
    </row>
    <row r="32" spans="1:17" ht="12.75">
      <c r="A32" s="2">
        <v>29</v>
      </c>
      <c r="B32" s="62">
        <v>415</v>
      </c>
      <c r="C32" s="2" t="s">
        <v>11</v>
      </c>
      <c r="D32" s="46">
        <f>IF(Anlagen!D32=0,0,kW_el!D32/Anlagen!D32)</f>
        <v>55</v>
      </c>
      <c r="E32" s="10">
        <f>IF(Anlagen!E32=0,0,kW_el!E32/Anlagen!E32)</f>
        <v>112.14285714285714</v>
      </c>
      <c r="F32" s="10">
        <f>IF(Anlagen!F32=0,0,kW_el!F32/Anlagen!F32)</f>
        <v>197.77777777777777</v>
      </c>
      <c r="G32" s="10">
        <f>IF(Anlagen!G32=0,0,kW_el!G32/Anlagen!G32)</f>
        <v>209.56521739130434</v>
      </c>
      <c r="H32" s="10">
        <f>IF(Anlagen!H32=0,0,kW_el!H32/Anlagen!H32)</f>
        <v>211.36363636363637</v>
      </c>
      <c r="I32" s="10">
        <f>IF(Anlagen!I32=0,0,kW_el!I32/Anlagen!I32)</f>
        <v>215.2</v>
      </c>
      <c r="J32" s="10">
        <f>IF(Anlagen!J32=0,0,kW_el!J32/Anlagen!J32)</f>
        <v>301.8333333333333</v>
      </c>
      <c r="K32" s="10">
        <f>IF(Anlagen!K32=0,0,kW_el!K32/Anlagen!K32)</f>
        <v>322.20588235294116</v>
      </c>
      <c r="L32" s="10">
        <f>IF(Anlagen!L32=0,0,kW_el!L32/Anlagen!L32)</f>
        <v>313</v>
      </c>
      <c r="M32" s="33">
        <f>IF(Anlagen!M32=0,0,kW_el!M32/Anlagen!M32)</f>
        <v>322.3611111111111</v>
      </c>
      <c r="N32" s="33">
        <f>IF(Anlagen!N32=0,0,kW_el!N32/Anlagen!N32)</f>
        <v>350.05405405405406</v>
      </c>
      <c r="O32" s="33">
        <f>IF(Anlagen!O32=0,0,kW_el!O32/Anlagen!O32)</f>
        <v>352.2162162162162</v>
      </c>
      <c r="P32" s="33">
        <f>IF(Anlagen!P32=0,0,kW_el!P32/Anlagen!P32)</f>
        <v>344.92105263157896</v>
      </c>
      <c r="Q32" s="33">
        <f>IF(Anlagen!Q32=0,0,kW_el!Q32/Anlagen!Q32)</f>
        <v>348.86842105263156</v>
      </c>
    </row>
    <row r="33" spans="1:17" ht="12.75">
      <c r="A33" s="2">
        <v>30</v>
      </c>
      <c r="B33" s="62">
        <v>416</v>
      </c>
      <c r="C33" s="2" t="s">
        <v>13</v>
      </c>
      <c r="D33" s="46">
        <f>IF(Anlagen!D33=0,0,kW_el!D33/Anlagen!D33)</f>
        <v>50</v>
      </c>
      <c r="E33" s="10">
        <f>IF(Anlagen!E33=0,0,kW_el!E33/Anlagen!E33)</f>
        <v>95.71428571428571</v>
      </c>
      <c r="F33" s="10">
        <f>IF(Anlagen!F33=0,0,kW_el!F33/Anlagen!F33)</f>
        <v>191</v>
      </c>
      <c r="G33" s="10">
        <f>IF(Anlagen!G33=0,0,kW_el!G33/Anlagen!G33)</f>
        <v>243.63636363636363</v>
      </c>
      <c r="H33" s="10">
        <f>IF(Anlagen!H33=0,0,kW_el!H33/Anlagen!H33)</f>
        <v>271.5</v>
      </c>
      <c r="I33" s="10">
        <f>IF(Anlagen!I33=0,0,kW_el!I33/Anlagen!I33)</f>
        <v>271.5</v>
      </c>
      <c r="J33" s="10">
        <f>IF(Anlagen!J33=0,0,kW_el!J33/Anlagen!J33)</f>
        <v>273.46153846153845</v>
      </c>
      <c r="K33" s="10">
        <f>IF(Anlagen!K33=0,0,kW_el!K33/Anlagen!K33)</f>
        <v>309.3333333333333</v>
      </c>
      <c r="L33" s="10">
        <f>IF(Anlagen!L33=0,0,kW_el!L33/Anlagen!L33)</f>
        <v>318.4375</v>
      </c>
      <c r="M33" s="33">
        <f>IF(Anlagen!M33=0,0,kW_el!M33/Anlagen!M33)</f>
        <v>318.4375</v>
      </c>
      <c r="N33" s="33">
        <f>IF(Anlagen!N33=0,0,kW_el!N33/Anlagen!N33)</f>
        <v>304.11764705882354</v>
      </c>
      <c r="O33" s="33">
        <f>IF(Anlagen!O33=0,0,kW_el!O33/Anlagen!O33)</f>
        <v>304.11764705882354</v>
      </c>
      <c r="P33" s="33">
        <f>IF(Anlagen!P33=0,0,kW_el!P33/Anlagen!P33)</f>
        <v>304.11764705882354</v>
      </c>
      <c r="Q33" s="33">
        <f>IF(Anlagen!Q33=0,0,kW_el!Q33/Anlagen!Q33)</f>
        <v>304.11764705882354</v>
      </c>
    </row>
    <row r="34" spans="1:17" ht="12.75">
      <c r="A34" s="2">
        <v>31</v>
      </c>
      <c r="B34" s="62">
        <v>417</v>
      </c>
      <c r="C34" s="2" t="s">
        <v>8</v>
      </c>
      <c r="D34" s="46">
        <f>IF(Anlagen!D34=0,0,kW_el!D34/Anlagen!D34)</f>
        <v>75.83333333333333</v>
      </c>
      <c r="E34" s="10">
        <f>IF(Anlagen!E34=0,0,kW_el!E34/Anlagen!E34)</f>
        <v>155.625</v>
      </c>
      <c r="F34" s="10">
        <f>IF(Anlagen!F34=0,0,kW_el!F34/Anlagen!F34)</f>
        <v>221</v>
      </c>
      <c r="G34" s="10">
        <f>IF(Anlagen!G34=0,0,kW_el!G34/Anlagen!G34)</f>
        <v>221</v>
      </c>
      <c r="H34" s="10">
        <f>IF(Anlagen!H34=0,0,kW_el!H34/Anlagen!H34)</f>
        <v>223</v>
      </c>
      <c r="I34" s="10">
        <f>IF(Anlagen!I34=0,0,kW_el!I34/Anlagen!I34)</f>
        <v>220</v>
      </c>
      <c r="J34" s="10">
        <f>IF(Anlagen!J34=0,0,kW_el!J34/Anlagen!J34)</f>
        <v>291.7857142857143</v>
      </c>
      <c r="K34" s="10">
        <f>IF(Anlagen!K34=0,0,kW_el!K34/Anlagen!K34)</f>
        <v>297.5</v>
      </c>
      <c r="L34" s="10">
        <f>IF(Anlagen!L34=0,0,kW_el!L34/Anlagen!L34)</f>
        <v>310</v>
      </c>
      <c r="M34" s="33">
        <f>IF(Anlagen!M34=0,0,kW_el!M34/Anlagen!M34)</f>
        <v>324</v>
      </c>
      <c r="N34" s="33">
        <f>IF(Anlagen!N34=0,0,kW_el!N34/Anlagen!N34)</f>
        <v>352.5</v>
      </c>
      <c r="O34" s="33">
        <f>IF(Anlagen!O34=0,0,kW_el!O34/Anlagen!O34)</f>
        <v>376.9230769230769</v>
      </c>
      <c r="P34" s="33">
        <f>IF(Anlagen!P34=0,0,kW_el!P34/Anlagen!P34)</f>
        <v>376.9230769230769</v>
      </c>
      <c r="Q34" s="33">
        <f>IF(Anlagen!Q34=0,0,kW_el!Q34/Anlagen!Q34)</f>
        <v>376.9230769230769</v>
      </c>
    </row>
    <row r="35" spans="1:17" ht="12.75">
      <c r="A35" s="2">
        <v>32</v>
      </c>
      <c r="B35" s="62">
        <v>425</v>
      </c>
      <c r="C35" s="2" t="s">
        <v>15</v>
      </c>
      <c r="D35" s="46">
        <f>IF(Anlagen!D35=0,0,kW_el!D35/Anlagen!D35)</f>
        <v>64.64285714285714</v>
      </c>
      <c r="E35" s="10">
        <f>IF(Anlagen!E35=0,0,kW_el!E35/Anlagen!E35)</f>
        <v>136.9047619047619</v>
      </c>
      <c r="F35" s="10">
        <f>IF(Anlagen!F35=0,0,kW_el!F35/Anlagen!F35)</f>
        <v>268.2105263157895</v>
      </c>
      <c r="G35" s="10">
        <f>IF(Anlagen!G35=0,0,kW_el!G35/Anlagen!G35)</f>
        <v>274.85</v>
      </c>
      <c r="H35" s="10">
        <f>IF(Anlagen!H35=0,0,kW_el!H35/Anlagen!H35)</f>
        <v>290.61538461538464</v>
      </c>
      <c r="I35" s="10">
        <f>IF(Anlagen!I35=0,0,kW_el!I35/Anlagen!I35)</f>
        <v>279.28</v>
      </c>
      <c r="J35" s="10">
        <f>IF(Anlagen!J35=0,0,kW_el!J35/Anlagen!J35)</f>
        <v>294.6307692307692</v>
      </c>
      <c r="K35" s="10">
        <f>IF(Anlagen!K35=0,0,kW_el!K35/Anlagen!K35)</f>
        <v>317.5342465753425</v>
      </c>
      <c r="L35" s="10">
        <f>IF(Anlagen!L35=0,0,kW_el!L35/Anlagen!L35)</f>
        <v>332.0945945945946</v>
      </c>
      <c r="M35" s="33">
        <f>IF(Anlagen!M35=0,0,kW_el!M35/Anlagen!M35)</f>
        <v>340.1333333333333</v>
      </c>
      <c r="N35" s="33">
        <f>IF(Anlagen!N35=0,0,kW_el!N35/Anlagen!N35)</f>
        <v>368.7105263157895</v>
      </c>
      <c r="O35" s="33">
        <f>IF(Anlagen!O35=0,0,kW_el!O35/Anlagen!O35)</f>
        <v>369.7894736842105</v>
      </c>
      <c r="P35" s="33">
        <f>IF(Anlagen!P35=0,0,kW_el!P35/Anlagen!P35)</f>
        <v>362.2307692307692</v>
      </c>
      <c r="Q35" s="33">
        <f>IF(Anlagen!Q35=0,0,kW_el!Q35/Anlagen!Q35)</f>
        <v>356.6341463414634</v>
      </c>
    </row>
    <row r="36" spans="1:17" ht="12.75">
      <c r="A36" s="2">
        <v>33</v>
      </c>
      <c r="B36" s="62">
        <v>426</v>
      </c>
      <c r="C36" s="2" t="s">
        <v>9</v>
      </c>
      <c r="D36" s="46">
        <f>IF(Anlagen!D36=0,0,kW_el!D36/Anlagen!D36)</f>
        <v>71.85185185185185</v>
      </c>
      <c r="E36" s="10">
        <f>IF(Anlagen!E36=0,0,kW_el!E36/Anlagen!E36)</f>
        <v>151.11111111111111</v>
      </c>
      <c r="F36" s="10">
        <f>IF(Anlagen!F36=0,0,kW_el!F36/Anlagen!F36)</f>
        <v>217.63636363636363</v>
      </c>
      <c r="G36" s="10">
        <f>IF(Anlagen!G36=0,0,kW_el!G36/Anlagen!G36)</f>
        <v>290.40983606557376</v>
      </c>
      <c r="H36" s="10">
        <f>IF(Anlagen!H36=0,0,kW_el!H36/Anlagen!H36)</f>
        <v>297.65625</v>
      </c>
      <c r="I36" s="10">
        <f>IF(Anlagen!I36=0,0,kW_el!I36/Anlagen!I36)</f>
        <v>327.2307692307692</v>
      </c>
      <c r="J36" s="10">
        <f>IF(Anlagen!J36=0,0,kW_el!J36/Anlagen!J36)</f>
        <v>344.5945945945946</v>
      </c>
      <c r="K36" s="10">
        <f>IF(Anlagen!K36=0,0,kW_el!K36/Anlagen!K36)</f>
        <v>380.64102564102564</v>
      </c>
      <c r="L36" s="10">
        <f>IF(Anlagen!L36=0,0,kW_el!L36/Anlagen!L36)</f>
        <v>394</v>
      </c>
      <c r="M36" s="33">
        <f>IF(Anlagen!M36=0,0,kW_el!M36/Anlagen!M36)</f>
        <v>390.17045454545456</v>
      </c>
      <c r="N36" s="33">
        <f>IF(Anlagen!N36=0,0,kW_el!N36/Anlagen!N36)</f>
        <v>402.7692307692308</v>
      </c>
      <c r="O36" s="33">
        <f>IF(Anlagen!O36=0,0,kW_el!O36/Anlagen!O36)</f>
        <v>398.5698924731183</v>
      </c>
      <c r="P36" s="33">
        <f>IF(Anlagen!P36=0,0,kW_el!P36/Anlagen!P36)</f>
        <v>391.7578947368421</v>
      </c>
      <c r="Q36" s="33">
        <f>IF(Anlagen!Q36=0,0,kW_el!Q36/Anlagen!Q36)</f>
        <v>391.5</v>
      </c>
    </row>
    <row r="37" spans="1:17" ht="12.75">
      <c r="A37" s="2">
        <v>34</v>
      </c>
      <c r="B37" s="62">
        <v>435</v>
      </c>
      <c r="C37" s="2" t="s">
        <v>10</v>
      </c>
      <c r="D37" s="46">
        <f>IF(Anlagen!D37=0,0,kW_el!D37/Anlagen!D37)</f>
        <v>61.25</v>
      </c>
      <c r="E37" s="10">
        <f>IF(Anlagen!E37=0,0,kW_el!E37/Anlagen!E37)</f>
        <v>107.91666666666667</v>
      </c>
      <c r="F37" s="10">
        <f>IF(Anlagen!F37=0,0,kW_el!F37/Anlagen!F37)</f>
        <v>152.08333333333334</v>
      </c>
      <c r="G37" s="10">
        <f>IF(Anlagen!G37=0,0,kW_el!G37/Anlagen!G37)</f>
        <v>141.25</v>
      </c>
      <c r="H37" s="10">
        <f>IF(Anlagen!H37=0,0,kW_el!H37/Anlagen!H37)</f>
        <v>141.25</v>
      </c>
      <c r="I37" s="10">
        <f>IF(Anlagen!I37=0,0,kW_el!I37/Anlagen!I37)</f>
        <v>128.21428571428572</v>
      </c>
      <c r="J37" s="10">
        <f>IF(Anlagen!J37=0,0,kW_el!J37/Anlagen!J37)</f>
        <v>176.78571428571428</v>
      </c>
      <c r="K37" s="10">
        <f>IF(Anlagen!K37=0,0,kW_el!K37/Anlagen!K37)</f>
        <v>199.7058823529412</v>
      </c>
      <c r="L37" s="10">
        <f>IF(Anlagen!L37=0,0,kW_el!L37/Anlagen!L37)</f>
        <v>212.35294117647058</v>
      </c>
      <c r="M37" s="33">
        <f>IF(Anlagen!M37=0,0,kW_el!M37/Anlagen!M37)</f>
        <v>221.875</v>
      </c>
      <c r="N37" s="33">
        <f>IF(Anlagen!N37=0,0,kW_el!N37/Anlagen!N37)</f>
        <v>227.8125</v>
      </c>
      <c r="O37" s="33">
        <f>IF(Anlagen!O37=0,0,kW_el!O37/Anlagen!O37)</f>
        <v>227.8125</v>
      </c>
      <c r="P37" s="33">
        <f>IF(Anlagen!P37=0,0,kW_el!P37/Anlagen!P37)</f>
        <v>227.8125</v>
      </c>
      <c r="Q37" s="33">
        <f>IF(Anlagen!Q37=0,0,kW_el!Q37/Anlagen!Q37)</f>
        <v>227.8125</v>
      </c>
    </row>
    <row r="38" spans="1:17" ht="12.75">
      <c r="A38" s="2">
        <v>35</v>
      </c>
      <c r="B38" s="62">
        <v>436</v>
      </c>
      <c r="C38" s="2" t="s">
        <v>12</v>
      </c>
      <c r="D38" s="46">
        <f>IF(Anlagen!D38=0,0,kW_el!D38/Anlagen!D38)</f>
        <v>79.14893617021276</v>
      </c>
      <c r="E38" s="10">
        <f>IF(Anlagen!E38=0,0,kW_el!E38/Anlagen!E38)</f>
        <v>103.17460317460318</v>
      </c>
      <c r="F38" s="10">
        <f>IF(Anlagen!F38=0,0,kW_el!F38/Anlagen!F38)</f>
        <v>132.78571428571428</v>
      </c>
      <c r="G38" s="10">
        <f>IF(Anlagen!G38=0,0,kW_el!G38/Anlagen!G38)</f>
        <v>165.42253521126761</v>
      </c>
      <c r="H38" s="10">
        <f>IF(Anlagen!H38=0,0,kW_el!H38/Anlagen!H38)</f>
        <v>186.45833333333334</v>
      </c>
      <c r="I38" s="10">
        <f>IF(Anlagen!I38=0,0,kW_el!I38/Anlagen!I38)</f>
        <v>191.7948717948718</v>
      </c>
      <c r="J38" s="10">
        <f>IF(Anlagen!J38=0,0,kW_el!J38/Anlagen!J38)</f>
        <v>203.63636363636363</v>
      </c>
      <c r="K38" s="10">
        <f>IF(Anlagen!K38=0,0,kW_el!K38/Anlagen!K38)</f>
        <v>240.25510204081633</v>
      </c>
      <c r="L38" s="10">
        <f>IF(Anlagen!L38=0,0,kW_el!L38/Anlagen!L38)</f>
        <v>258.05</v>
      </c>
      <c r="M38" s="33">
        <f>IF(Anlagen!M38=0,0,kW_el!M38/Anlagen!M38)</f>
        <v>275.29411764705884</v>
      </c>
      <c r="N38" s="33">
        <f>IF(Anlagen!N38=0,0,kW_el!N38/Anlagen!N38)</f>
        <v>275.3240740740741</v>
      </c>
      <c r="O38" s="33">
        <f>IF(Anlagen!O38=0,0,kW_el!O38/Anlagen!O38)</f>
        <v>283.5514018691589</v>
      </c>
      <c r="P38" s="33">
        <f>IF(Anlagen!P38=0,0,kW_el!P38/Anlagen!P38)</f>
        <v>281.6203703703704</v>
      </c>
      <c r="Q38" s="33">
        <f>IF(Anlagen!Q38=0,0,kW_el!Q38/Anlagen!Q38)</f>
        <v>280.23148148148147</v>
      </c>
    </row>
    <row r="39" spans="1:17" ht="12.75">
      <c r="A39" s="2">
        <v>36</v>
      </c>
      <c r="B39" s="67">
        <v>437</v>
      </c>
      <c r="C39" s="43" t="s">
        <v>14</v>
      </c>
      <c r="D39" s="47">
        <f>IF(Anlagen!D39=0,0,kW_el!D39/Anlagen!D39)</f>
        <v>141.15384615384616</v>
      </c>
      <c r="E39" s="44">
        <f>IF(Anlagen!E39=0,0,kW_el!E39/Anlagen!E39)</f>
        <v>236.5909090909091</v>
      </c>
      <c r="F39" s="44">
        <f>IF(Anlagen!F39=0,0,kW_el!F39/Anlagen!F39)</f>
        <v>226.3448275862069</v>
      </c>
      <c r="G39" s="44">
        <f>IF(Anlagen!G39=0,0,kW_el!G39/Anlagen!G39)</f>
        <v>248.86666666666667</v>
      </c>
      <c r="H39" s="44">
        <f>IF(Anlagen!H39=0,0,kW_el!H39/Anlagen!H39)</f>
        <v>286.80645161290323</v>
      </c>
      <c r="I39" s="44">
        <f>IF(Anlagen!I39=0,0,kW_el!I39/Anlagen!I39)</f>
        <v>315.4166666666667</v>
      </c>
      <c r="J39" s="44">
        <f>IF(Anlagen!J39=0,0,kW_el!J39/Anlagen!J39)</f>
        <v>371.04761904761904</v>
      </c>
      <c r="K39" s="44">
        <f>IF(Anlagen!K39=0,0,kW_el!K39/Anlagen!K39)</f>
        <v>415.7083333333333</v>
      </c>
      <c r="L39" s="44">
        <f>IF(Anlagen!L39=0,0,kW_el!L39/Anlagen!L39)</f>
        <v>445.0833333333333</v>
      </c>
      <c r="M39" s="45">
        <f>IF(Anlagen!M39=0,0,kW_el!M39/Anlagen!M39)</f>
        <v>443.9795918367347</v>
      </c>
      <c r="N39" s="45">
        <f>IF(Anlagen!N39=0,0,kW_el!N39/Anlagen!N39)</f>
        <v>448.734693877551</v>
      </c>
      <c r="O39" s="45">
        <f>IF(Anlagen!O39=0,0,kW_el!O39/Anlagen!O39)</f>
        <v>450.16326530612247</v>
      </c>
      <c r="P39" s="45">
        <f>IF(Anlagen!P39=0,0,kW_el!P39/Anlagen!P39)</f>
        <v>428.5192307692308</v>
      </c>
      <c r="Q39" s="45">
        <f>IF(Anlagen!Q39=0,0,kW_el!Q39/Anlagen!Q39)</f>
        <v>422.41509433962267</v>
      </c>
    </row>
    <row r="40" spans="1:17" ht="12.75">
      <c r="A40" s="2">
        <v>37</v>
      </c>
      <c r="B40" s="62">
        <v>199</v>
      </c>
      <c r="C40" s="3" t="s">
        <v>50</v>
      </c>
      <c r="D40" s="46">
        <f>IF(Anlagen!D40=0,0,kW_el!D40/Anlagen!D40)</f>
        <v>93.4920634920635</v>
      </c>
      <c r="E40" s="10">
        <f>IF(Anlagen!E40=0,0,kW_el!E40/Anlagen!E40)</f>
        <v>118.01282051282051</v>
      </c>
      <c r="F40" s="10">
        <f>IF(Anlagen!F40=0,0,kW_el!F40/Anlagen!F40)</f>
        <v>166.9047619047619</v>
      </c>
      <c r="G40" s="10">
        <f>IF(Anlagen!G40=0,0,kW_el!G40/Anlagen!G40)</f>
        <v>215.19417475728156</v>
      </c>
      <c r="H40" s="10">
        <f>IF(Anlagen!H40=0,0,kW_el!H40/Anlagen!H40)</f>
        <v>241.28440366972478</v>
      </c>
      <c r="I40" s="10">
        <f>IF(Anlagen!I40=0,0,kW_el!I40/Anlagen!I40)</f>
        <v>255.65853658536585</v>
      </c>
      <c r="J40" s="10">
        <f>IF(Anlagen!J40=0,0,kW_el!J40/Anlagen!J40)</f>
        <v>264.30065359477123</v>
      </c>
      <c r="K40" s="10">
        <f>IF(Anlagen!K40=0,0,kW_el!K40/Anlagen!K40)</f>
        <v>322.74054054054056</v>
      </c>
      <c r="L40" s="10">
        <f>IF(Anlagen!L40=0,0,kW_el!L40/Anlagen!L40)</f>
        <v>319.0418848167539</v>
      </c>
      <c r="M40" s="33">
        <f>IF(Anlagen!M40=0,0,kW_el!M40/Anlagen!M40)</f>
        <v>344.59154929577466</v>
      </c>
      <c r="N40" s="33">
        <f>IF(Anlagen!N40=0,0,kW_el!N40/Anlagen!N40)</f>
        <v>371.73755656108597</v>
      </c>
      <c r="O40" s="33">
        <f>IF(Anlagen!O40=0,0,kW_el!O40/Anlagen!O40)</f>
        <v>368.97333333333336</v>
      </c>
      <c r="P40" s="33">
        <f>IF(Anlagen!P40=0,0,kW_el!P40/Anlagen!P40)</f>
        <v>352.5798319327731</v>
      </c>
      <c r="Q40" s="33">
        <f>IF(Anlagen!Q40=0,0,kW_el!Q40/Anlagen!Q40)</f>
        <v>348.40562248995985</v>
      </c>
    </row>
    <row r="41" spans="1:17" ht="12.75">
      <c r="A41" s="2">
        <v>38</v>
      </c>
      <c r="B41" s="62">
        <v>299</v>
      </c>
      <c r="C41" s="3" t="s">
        <v>51</v>
      </c>
      <c r="D41" s="46">
        <f>IF(Anlagen!D41=0,0,kW_el!D41/Anlagen!D41)</f>
        <v>118.875</v>
      </c>
      <c r="E41" s="10">
        <f>IF(Anlagen!E41=0,0,kW_el!E41/Anlagen!E41)</f>
        <v>144.31578947368422</v>
      </c>
      <c r="F41" s="10">
        <f>IF(Anlagen!F41=0,0,kW_el!F41/Anlagen!F41)</f>
        <v>236.125</v>
      </c>
      <c r="G41" s="10">
        <f>IF(Anlagen!G41=0,0,kW_el!G41/Anlagen!G41)</f>
        <v>315.20588235294116</v>
      </c>
      <c r="H41" s="10">
        <f>IF(Anlagen!H41=0,0,kW_el!H41/Anlagen!H41)</f>
        <v>362.0263157894737</v>
      </c>
      <c r="I41" s="10">
        <f>IF(Anlagen!I41=0,0,kW_el!I41/Anlagen!I41)</f>
        <v>363.1219512195122</v>
      </c>
      <c r="J41" s="10">
        <f>IF(Anlagen!J41=0,0,kW_el!J41/Anlagen!J41)</f>
        <v>387.02222222222224</v>
      </c>
      <c r="K41" s="10">
        <f>IF(Anlagen!K41=0,0,kW_el!K41/Anlagen!K41)</f>
        <v>391.7090909090909</v>
      </c>
      <c r="L41" s="10">
        <f>IF(Anlagen!L41=0,0,kW_el!L41/Anlagen!L41)</f>
        <v>383.98214285714283</v>
      </c>
      <c r="M41" s="33">
        <f>IF(Anlagen!M41=0,0,kW_el!M41/Anlagen!M41)</f>
        <v>415.758064516129</v>
      </c>
      <c r="N41" s="33">
        <f>IF(Anlagen!N41=0,0,kW_el!N41/Anlagen!N41)</f>
        <v>402.45454545454544</v>
      </c>
      <c r="O41" s="33">
        <f>IF(Anlagen!O41=0,0,kW_el!O41/Anlagen!O41)</f>
        <v>397.56716417910445</v>
      </c>
      <c r="P41" s="33">
        <f>IF(Anlagen!P41=0,0,kW_el!P41/Anlagen!P41)</f>
        <v>375.1666666666667</v>
      </c>
      <c r="Q41" s="33">
        <f>IF(Anlagen!Q41=0,0,kW_el!Q41/Anlagen!Q41)</f>
        <v>365.29333333333335</v>
      </c>
    </row>
    <row r="42" spans="1:17" ht="12.75">
      <c r="A42" s="2">
        <v>39</v>
      </c>
      <c r="B42" s="62">
        <v>399</v>
      </c>
      <c r="C42" s="3" t="s">
        <v>52</v>
      </c>
      <c r="D42" s="46">
        <f>IF(Anlagen!D42=0,0,kW_el!D42/Anlagen!D42)</f>
        <v>130</v>
      </c>
      <c r="E42" s="10">
        <f>IF(Anlagen!E42=0,0,kW_el!E42/Anlagen!E42)</f>
        <v>154.66666666666666</v>
      </c>
      <c r="F42" s="10">
        <f>IF(Anlagen!F42=0,0,kW_el!F42/Anlagen!F42)</f>
        <v>214.07407407407408</v>
      </c>
      <c r="G42" s="10">
        <f>IF(Anlagen!G42=0,0,kW_el!G42/Anlagen!G42)</f>
        <v>232.50331125827816</v>
      </c>
      <c r="H42" s="10">
        <f>IF(Anlagen!H42=0,0,kW_el!H42/Anlagen!H42)</f>
        <v>241.67549668874173</v>
      </c>
      <c r="I42" s="10">
        <f>IF(Anlagen!I42=0,0,kW_el!I42/Anlagen!I42)</f>
        <v>261.4654088050315</v>
      </c>
      <c r="J42" s="10">
        <f>IF(Anlagen!J42=0,0,kW_el!J42/Anlagen!J42)</f>
        <v>278.766081871345</v>
      </c>
      <c r="K42" s="10">
        <f>IF(Anlagen!K42=0,0,kW_el!K42/Anlagen!K42)</f>
        <v>308.1173184357542</v>
      </c>
      <c r="L42" s="10">
        <f>IF(Anlagen!L42=0,0,kW_el!L42/Anlagen!L42)</f>
        <v>323.3945945945946</v>
      </c>
      <c r="M42" s="33">
        <f>IF(Anlagen!M42=0,0,kW_el!M42/Anlagen!M42)</f>
        <v>332.43548387096774</v>
      </c>
      <c r="N42" s="33">
        <f>IF(Anlagen!N42=0,0,kW_el!N42/Anlagen!N42)</f>
        <v>340.2323232323232</v>
      </c>
      <c r="O42" s="33">
        <f>IF(Anlagen!O42=0,0,kW_el!O42/Anlagen!O42)</f>
        <v>340.5858585858586</v>
      </c>
      <c r="P42" s="33">
        <f>IF(Anlagen!P42=0,0,kW_el!P42/Anlagen!P42)</f>
        <v>336.62189054726366</v>
      </c>
      <c r="Q42" s="33">
        <f>IF(Anlagen!Q42=0,0,kW_el!Q42/Anlagen!Q42)</f>
        <v>338.28855721393035</v>
      </c>
    </row>
    <row r="43" spans="1:17" ht="12.75">
      <c r="A43" s="2">
        <v>40</v>
      </c>
      <c r="B43" s="62">
        <v>499</v>
      </c>
      <c r="C43" s="3" t="s">
        <v>53</v>
      </c>
      <c r="D43" s="46">
        <f>IF(Anlagen!D43=0,0,kW_el!D43/Anlagen!D43)</f>
        <v>78.3984375</v>
      </c>
      <c r="E43" s="10">
        <f>IF(Anlagen!E43=0,0,kW_el!E43/Anlagen!E43)</f>
        <v>136.25</v>
      </c>
      <c r="F43" s="10">
        <f>IF(Anlagen!F43=0,0,kW_el!F43/Anlagen!F43)</f>
        <v>196.38842975206612</v>
      </c>
      <c r="G43" s="10">
        <f>IF(Anlagen!G43=0,0,kW_el!G43/Anlagen!G43)</f>
        <v>229.9418604651163</v>
      </c>
      <c r="H43" s="10">
        <f>IF(Anlagen!H43=0,0,kW_el!H43/Anlagen!H43)</f>
        <v>246.1153846153846</v>
      </c>
      <c r="I43" s="10">
        <f>IF(Anlagen!I43=0,0,kW_el!I43/Anlagen!I43)</f>
        <v>255.5674740484429</v>
      </c>
      <c r="J43" s="10">
        <f>IF(Anlagen!J43=0,0,kW_el!J43/Anlagen!J43)</f>
        <v>286.25</v>
      </c>
      <c r="K43" s="10">
        <f>IF(Anlagen!K43=0,0,kW_el!K43/Anlagen!K43)</f>
        <v>317.0397877984085</v>
      </c>
      <c r="L43" s="10">
        <f>IF(Anlagen!L43=0,0,kW_el!L43/Anlagen!L43)</f>
        <v>332.16410256410256</v>
      </c>
      <c r="M43" s="33">
        <f>IF(Anlagen!M43=0,0,kW_el!M43/Anlagen!M43)</f>
        <v>339.5214105793451</v>
      </c>
      <c r="N43" s="33">
        <f>IF(Anlagen!N43=0,0,kW_el!N43/Anlagen!N43)</f>
        <v>350.7328431372549</v>
      </c>
      <c r="O43" s="33">
        <f>IF(Anlagen!O43=0,0,kW_el!O43/Anlagen!O43)</f>
        <v>353.7156862745098</v>
      </c>
      <c r="P43" s="33">
        <f>IF(Anlagen!P43=0,0,kW_el!P43/Anlagen!P43)</f>
        <v>347.70023980815347</v>
      </c>
      <c r="Q43" s="33">
        <f>IF(Anlagen!Q43=0,0,kW_el!Q43/Anlagen!Q43)</f>
        <v>346.43764705882353</v>
      </c>
    </row>
    <row r="44" spans="1:17" ht="13.5" thickBot="1">
      <c r="A44" s="72">
        <v>41</v>
      </c>
      <c r="B44" s="64">
        <v>999</v>
      </c>
      <c r="C44" s="40" t="s">
        <v>34</v>
      </c>
      <c r="D44" s="48">
        <f>IF(Anlagen!D44=0,0,kW_el!D44/Anlagen!D44)</f>
        <v>97.90459363957598</v>
      </c>
      <c r="E44" s="41">
        <f>IF(Anlagen!E44=0,0,kW_el!E44/Anlagen!E44)</f>
        <v>137.93654822335026</v>
      </c>
      <c r="F44" s="41">
        <f>IF(Anlagen!F44=0,0,kW_el!F44/Anlagen!F44)</f>
        <v>198.17113402061855</v>
      </c>
      <c r="G44" s="41">
        <f>IF(Anlagen!G44=0,0,kW_el!G44/Anlagen!G44)</f>
        <v>233.17765567765568</v>
      </c>
      <c r="H44" s="41">
        <f>IF(Anlagen!H44=0,0,kW_el!H44/Anlagen!H44)</f>
        <v>251.86379928315412</v>
      </c>
      <c r="I44" s="41">
        <f>IF(Anlagen!I44=0,0,kW_el!I44/Anlagen!I44)</f>
        <v>264.3235294117647</v>
      </c>
      <c r="J44" s="41">
        <f>IF(Anlagen!J44=0,0,kW_el!J44/Anlagen!J44)</f>
        <v>286.1043723554302</v>
      </c>
      <c r="K44" s="41">
        <f>IF(Anlagen!K44=0,0,kW_el!K44/Anlagen!K44)</f>
        <v>321.5175879396985</v>
      </c>
      <c r="L44" s="41">
        <f>IF(Anlagen!L44=0,0,kW_el!L44/Anlagen!L44)</f>
        <v>330.6715328467153</v>
      </c>
      <c r="M44" s="42">
        <f>IF(Anlagen!M44=0,0,kW_el!M44/Anlagen!M44)</f>
        <v>344.75291375291374</v>
      </c>
      <c r="N44" s="42">
        <f>IF(Anlagen!N44=0,0,kW_el!N44/Anlagen!N44)</f>
        <v>357.4255319148936</v>
      </c>
      <c r="O44" s="42">
        <f>IF(Anlagen!O44=0,0,kW_el!O44/Anlagen!O44)</f>
        <v>357.9153674832962</v>
      </c>
      <c r="P44" s="42">
        <f>IF(Anlagen!P44=0,0,kW_el!P44/Anlagen!P44)</f>
        <v>348.68318965517244</v>
      </c>
      <c r="Q44" s="42">
        <f>IF(Anlagen!Q44=0,0,kW_el!Q44/Anlagen!Q44)</f>
        <v>346.7178947368421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38564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44" sqref="K44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6" width="11.421875" style="2" customWidth="1"/>
    <col min="7" max="7" width="10.28125" style="2" bestFit="1" customWidth="1"/>
    <col min="8" max="13" width="11.421875" style="2" customWidth="1"/>
    <col min="14" max="16384" width="11.421875" style="2" customWidth="1"/>
  </cols>
  <sheetData>
    <row r="1" spans="4:9" ht="12.75">
      <c r="D1" s="9" t="s">
        <v>48</v>
      </c>
      <c r="E1" s="1"/>
      <c r="F1" s="1"/>
      <c r="G1" s="1"/>
      <c r="H1" s="1"/>
      <c r="I1" s="1"/>
    </row>
    <row r="2" spans="2:13" ht="12.75">
      <c r="B2" s="4" t="s">
        <v>35</v>
      </c>
      <c r="C2" s="5" t="s">
        <v>36</v>
      </c>
      <c r="D2" s="6">
        <v>2004</v>
      </c>
      <c r="E2" s="6">
        <v>2005</v>
      </c>
      <c r="F2" s="6">
        <v>2006</v>
      </c>
      <c r="G2" s="6">
        <v>2007</v>
      </c>
      <c r="H2" s="6">
        <v>2008</v>
      </c>
      <c r="I2" s="6">
        <v>2009</v>
      </c>
      <c r="J2" s="6">
        <v>2010</v>
      </c>
      <c r="K2" s="6">
        <v>2011</v>
      </c>
      <c r="L2" s="6">
        <v>2012</v>
      </c>
      <c r="M2" s="6">
        <v>2013</v>
      </c>
    </row>
    <row r="3" spans="1:11" ht="12.75">
      <c r="A3" s="2">
        <v>1</v>
      </c>
      <c r="B3" s="7">
        <v>111</v>
      </c>
      <c r="C3" s="2" t="s">
        <v>23</v>
      </c>
      <c r="D3" s="10"/>
      <c r="E3" s="10"/>
      <c r="F3" s="10"/>
      <c r="G3" s="10">
        <v>108</v>
      </c>
      <c r="H3" s="10"/>
      <c r="I3" s="10"/>
      <c r="J3" s="10">
        <f>214+125</f>
        <v>339</v>
      </c>
      <c r="K3" s="10"/>
    </row>
    <row r="4" spans="1:11" ht="12.75">
      <c r="A4" s="2">
        <v>2</v>
      </c>
      <c r="B4" s="7">
        <v>115</v>
      </c>
      <c r="C4" s="2" t="s">
        <v>21</v>
      </c>
      <c r="D4" s="10"/>
      <c r="E4" s="10"/>
      <c r="F4" s="10"/>
      <c r="G4" s="10">
        <f>215+20+827</f>
        <v>1062</v>
      </c>
      <c r="H4" s="10"/>
      <c r="I4" s="10"/>
      <c r="J4" s="10">
        <f>382+851</f>
        <v>1233</v>
      </c>
      <c r="K4" s="10"/>
    </row>
    <row r="5" spans="1:11" ht="12.75">
      <c r="A5" s="2">
        <v>3</v>
      </c>
      <c r="B5" s="7">
        <v>116</v>
      </c>
      <c r="C5" s="2" t="s">
        <v>25</v>
      </c>
      <c r="D5" s="10"/>
      <c r="E5" s="10"/>
      <c r="F5" s="10"/>
      <c r="G5" s="10">
        <f>594+64+783</f>
        <v>1441</v>
      </c>
      <c r="H5" s="10"/>
      <c r="I5" s="10"/>
      <c r="J5" s="29">
        <f>843+882</f>
        <v>1725</v>
      </c>
      <c r="K5" s="29"/>
    </row>
    <row r="6" spans="1:11" ht="12.75">
      <c r="A6" s="2">
        <v>4</v>
      </c>
      <c r="B6" s="7">
        <v>117</v>
      </c>
      <c r="C6" s="2" t="s">
        <v>18</v>
      </c>
      <c r="D6" s="29"/>
      <c r="E6" s="29"/>
      <c r="F6" s="29"/>
      <c r="G6" s="29">
        <f>0+1936</f>
        <v>1936</v>
      </c>
      <c r="H6" s="29"/>
      <c r="I6" s="29"/>
      <c r="J6" s="29">
        <f>185+2179</f>
        <v>2364</v>
      </c>
      <c r="K6" s="29"/>
    </row>
    <row r="7" spans="1:11" ht="12.75">
      <c r="A7" s="2">
        <v>5</v>
      </c>
      <c r="B7" s="7">
        <v>118</v>
      </c>
      <c r="C7" s="2" t="s">
        <v>24</v>
      </c>
      <c r="D7" s="29"/>
      <c r="E7" s="29"/>
      <c r="F7" s="29"/>
      <c r="G7" s="29">
        <f>1466+66+2267</f>
        <v>3799</v>
      </c>
      <c r="H7" s="29"/>
      <c r="I7" s="29"/>
      <c r="J7" s="29">
        <f>1779+2984</f>
        <v>4763</v>
      </c>
      <c r="K7" s="29"/>
    </row>
    <row r="8" spans="1:11" ht="12.75">
      <c r="A8" s="2">
        <v>6</v>
      </c>
      <c r="B8" s="7">
        <v>119</v>
      </c>
      <c r="C8" s="2" t="s">
        <v>16</v>
      </c>
      <c r="D8" s="29"/>
      <c r="E8" s="29"/>
      <c r="F8" s="29"/>
      <c r="G8" s="29">
        <f>988+38+1439</f>
        <v>2465</v>
      </c>
      <c r="H8" s="29"/>
      <c r="I8" s="29"/>
      <c r="J8" s="29">
        <f>1226+1827</f>
        <v>3053</v>
      </c>
      <c r="K8" s="29"/>
    </row>
    <row r="9" spans="1:11" ht="12.75">
      <c r="A9" s="2">
        <v>7</v>
      </c>
      <c r="B9" s="7">
        <v>125</v>
      </c>
      <c r="C9" s="2" t="s">
        <v>20</v>
      </c>
      <c r="D9" s="29"/>
      <c r="E9" s="29"/>
      <c r="F9" s="29"/>
      <c r="G9" s="29">
        <f>0+1849+64+28+1887</f>
        <v>3828</v>
      </c>
      <c r="H9" s="29"/>
      <c r="I9" s="29"/>
      <c r="J9" s="29">
        <f>170+2966+78+1975</f>
        <v>5189</v>
      </c>
      <c r="K9" s="29"/>
    </row>
    <row r="10" spans="1:11" ht="12.75">
      <c r="A10" s="2">
        <v>8</v>
      </c>
      <c r="B10" s="7">
        <v>126</v>
      </c>
      <c r="C10" s="2" t="s">
        <v>26</v>
      </c>
      <c r="D10" s="29"/>
      <c r="E10" s="29"/>
      <c r="F10" s="29"/>
      <c r="G10" s="29">
        <f>757+698+2210</f>
        <v>3665</v>
      </c>
      <c r="H10" s="29"/>
      <c r="I10" s="29"/>
      <c r="J10" s="29">
        <f>1874+2777</f>
        <v>4651</v>
      </c>
      <c r="K10" s="29"/>
    </row>
    <row r="11" spans="1:11" ht="12.75">
      <c r="A11" s="2">
        <v>9</v>
      </c>
      <c r="B11" s="7">
        <v>127</v>
      </c>
      <c r="C11" s="2" t="s">
        <v>22</v>
      </c>
      <c r="D11" s="29"/>
      <c r="E11" s="29"/>
      <c r="F11" s="29"/>
      <c r="G11" s="29">
        <f>541+1077+5060</f>
        <v>6678</v>
      </c>
      <c r="H11" s="29"/>
      <c r="I11" s="29"/>
      <c r="J11" s="29">
        <f>1768+6515</f>
        <v>8283</v>
      </c>
      <c r="K11" s="29"/>
    </row>
    <row r="12" spans="1:11" ht="12.75">
      <c r="A12" s="2">
        <v>10</v>
      </c>
      <c r="B12" s="8">
        <v>128</v>
      </c>
      <c r="C12" s="3" t="s">
        <v>38</v>
      </c>
      <c r="D12" s="29"/>
      <c r="E12" s="29"/>
      <c r="F12" s="29"/>
      <c r="G12" s="29">
        <f>294+52+2648</f>
        <v>2994</v>
      </c>
      <c r="H12" s="29"/>
      <c r="I12" s="29"/>
      <c r="J12" s="29">
        <f>582+3294</f>
        <v>3876</v>
      </c>
      <c r="K12" s="29"/>
    </row>
    <row r="13" spans="1:11" ht="12.75">
      <c r="A13" s="2">
        <v>11</v>
      </c>
      <c r="B13" s="7">
        <v>135</v>
      </c>
      <c r="C13" s="2" t="s">
        <v>19</v>
      </c>
      <c r="D13" s="29"/>
      <c r="E13" s="29"/>
      <c r="F13" s="29"/>
      <c r="G13" s="29">
        <f>109+90+2240</f>
        <v>2439</v>
      </c>
      <c r="H13" s="29"/>
      <c r="I13" s="29"/>
      <c r="J13" s="29">
        <f>275+2727</f>
        <v>3002</v>
      </c>
      <c r="K13" s="29"/>
    </row>
    <row r="14" spans="1:11" ht="12.75">
      <c r="A14" s="2">
        <v>12</v>
      </c>
      <c r="B14" s="7">
        <v>136</v>
      </c>
      <c r="C14" s="2" t="s">
        <v>17</v>
      </c>
      <c r="D14" s="29"/>
      <c r="E14" s="29"/>
      <c r="F14" s="29"/>
      <c r="G14" s="29">
        <f>251+39+6368</f>
        <v>6658</v>
      </c>
      <c r="H14" s="29"/>
      <c r="I14" s="29"/>
      <c r="J14" s="29">
        <f>302+7772</f>
        <v>8074</v>
      </c>
      <c r="K14" s="29"/>
    </row>
    <row r="15" spans="1:11" ht="12.75">
      <c r="A15" s="2">
        <v>13</v>
      </c>
      <c r="B15" s="7">
        <v>215</v>
      </c>
      <c r="C15" s="2" t="s">
        <v>28</v>
      </c>
      <c r="D15" s="29"/>
      <c r="E15" s="29"/>
      <c r="F15" s="29"/>
      <c r="G15" s="29">
        <f>547+0+4999+140+593</f>
        <v>6279</v>
      </c>
      <c r="H15" s="29"/>
      <c r="I15" s="29"/>
      <c r="J15" s="29">
        <f>500+5973+690</f>
        <v>7163</v>
      </c>
      <c r="K15" s="29"/>
    </row>
    <row r="16" spans="1:11" ht="12.75">
      <c r="A16" s="2">
        <v>14</v>
      </c>
      <c r="B16" s="7">
        <v>216</v>
      </c>
      <c r="C16" s="2" t="s">
        <v>33</v>
      </c>
      <c r="D16" s="29"/>
      <c r="E16" s="29"/>
      <c r="F16" s="29"/>
      <c r="G16" s="29">
        <f>263+0+4086+53+224</f>
        <v>4626</v>
      </c>
      <c r="H16" s="29"/>
      <c r="I16" s="29"/>
      <c r="J16" s="29">
        <f>294+4509+300</f>
        <v>5103</v>
      </c>
      <c r="K16" s="29"/>
    </row>
    <row r="17" spans="1:11" ht="12.75">
      <c r="A17" s="2">
        <v>15</v>
      </c>
      <c r="B17" s="7">
        <v>225</v>
      </c>
      <c r="C17" s="2" t="s">
        <v>27</v>
      </c>
      <c r="D17" s="29"/>
      <c r="E17" s="29"/>
      <c r="F17" s="29"/>
      <c r="G17" s="29">
        <f>389+199+3000</f>
        <v>3588</v>
      </c>
      <c r="H17" s="29"/>
      <c r="I17" s="29"/>
      <c r="J17" s="29">
        <f>785+3186</f>
        <v>3971</v>
      </c>
      <c r="K17" s="29"/>
    </row>
    <row r="18" spans="1:11" ht="12.75">
      <c r="A18" s="2">
        <v>16</v>
      </c>
      <c r="B18" s="7">
        <v>226</v>
      </c>
      <c r="C18" s="2" t="s">
        <v>31</v>
      </c>
      <c r="D18" s="29"/>
      <c r="E18" s="29"/>
      <c r="F18" s="29"/>
      <c r="G18" s="29">
        <f>102+0+464+0+3017+176+66+11+1933</f>
        <v>5769</v>
      </c>
      <c r="H18" s="29"/>
      <c r="I18" s="29"/>
      <c r="J18" s="29">
        <f>4030+192+578+52+11+1905</f>
        <v>6768</v>
      </c>
      <c r="K18" s="29"/>
    </row>
    <row r="19" spans="1:11" ht="12.75">
      <c r="A19" s="2">
        <v>17</v>
      </c>
      <c r="B19" s="7">
        <v>235</v>
      </c>
      <c r="C19" s="2" t="s">
        <v>32</v>
      </c>
      <c r="D19" s="29"/>
      <c r="E19" s="29"/>
      <c r="F19" s="29"/>
      <c r="G19" s="29">
        <f>4+0+527</f>
        <v>531</v>
      </c>
      <c r="H19" s="29"/>
      <c r="I19" s="29"/>
      <c r="J19" s="29">
        <v>746</v>
      </c>
      <c r="K19" s="29"/>
    </row>
    <row r="20" spans="1:11" ht="12.75">
      <c r="A20" s="2">
        <v>18</v>
      </c>
      <c r="B20" s="7">
        <v>236</v>
      </c>
      <c r="C20" s="2" t="s">
        <v>30</v>
      </c>
      <c r="D20" s="29"/>
      <c r="E20" s="29"/>
      <c r="F20" s="29"/>
      <c r="G20" s="29">
        <f>32+0+0+0+53+1189</f>
        <v>1274</v>
      </c>
      <c r="H20" s="29"/>
      <c r="I20" s="29"/>
      <c r="J20" s="29">
        <f>847+34+65+1284</f>
        <v>2230</v>
      </c>
      <c r="K20" s="29"/>
    </row>
    <row r="21" spans="1:11" ht="12.75">
      <c r="A21" s="2">
        <v>19</v>
      </c>
      <c r="B21" s="7">
        <v>237</v>
      </c>
      <c r="C21" s="2" t="s">
        <v>29</v>
      </c>
      <c r="D21" s="29"/>
      <c r="E21" s="29"/>
      <c r="F21" s="29"/>
      <c r="G21" s="29">
        <f>0+0+872</f>
        <v>872</v>
      </c>
      <c r="H21" s="29"/>
      <c r="I21" s="29"/>
      <c r="J21" s="29">
        <v>1139</v>
      </c>
      <c r="K21" s="29"/>
    </row>
    <row r="22" spans="1:11" ht="12.75">
      <c r="A22" s="2">
        <v>20</v>
      </c>
      <c r="B22" s="7">
        <v>315</v>
      </c>
      <c r="C22" s="2" t="s">
        <v>2</v>
      </c>
      <c r="D22" s="29"/>
      <c r="E22" s="29"/>
      <c r="F22" s="29"/>
      <c r="G22" s="29">
        <f>8350+51+25+662</f>
        <v>9088</v>
      </c>
      <c r="H22" s="29"/>
      <c r="I22" s="29"/>
      <c r="J22" s="29">
        <f>1008+9390+30+654</f>
        <v>11082</v>
      </c>
      <c r="K22" s="29"/>
    </row>
    <row r="23" spans="1:11" s="3" customFormat="1" ht="12.75">
      <c r="A23" s="2">
        <v>21</v>
      </c>
      <c r="B23" s="7">
        <v>316</v>
      </c>
      <c r="C23" s="2" t="s">
        <v>1</v>
      </c>
      <c r="D23" s="29"/>
      <c r="E23" s="29"/>
      <c r="F23" s="29"/>
      <c r="G23" s="29">
        <f>5076+53+755</f>
        <v>5884</v>
      </c>
      <c r="H23" s="29"/>
      <c r="I23" s="29"/>
      <c r="J23" s="29">
        <f>5102+826</f>
        <v>5928</v>
      </c>
      <c r="K23" s="29"/>
    </row>
    <row r="24" spans="1:11" ht="12.75">
      <c r="A24" s="2">
        <v>22</v>
      </c>
      <c r="B24" s="7">
        <v>317</v>
      </c>
      <c r="C24" s="2" t="s">
        <v>3</v>
      </c>
      <c r="D24" s="29"/>
      <c r="E24" s="29"/>
      <c r="F24" s="29"/>
      <c r="G24" s="29">
        <f>13772+331+1618</f>
        <v>15721</v>
      </c>
      <c r="H24" s="29"/>
      <c r="I24" s="29"/>
      <c r="J24" s="29">
        <f>12762+1715</f>
        <v>14477</v>
      </c>
      <c r="K24" s="29"/>
    </row>
    <row r="25" spans="1:11" ht="12.75">
      <c r="A25" s="2">
        <v>23</v>
      </c>
      <c r="B25" s="7">
        <v>325</v>
      </c>
      <c r="C25" s="2" t="s">
        <v>4</v>
      </c>
      <c r="D25" s="29"/>
      <c r="E25" s="29"/>
      <c r="F25" s="29"/>
      <c r="G25" s="29">
        <f>15+15+1863</f>
        <v>1893</v>
      </c>
      <c r="H25" s="29"/>
      <c r="I25" s="29"/>
      <c r="J25" s="29">
        <f>2631</f>
        <v>2631</v>
      </c>
      <c r="K25" s="29"/>
    </row>
    <row r="26" spans="1:11" ht="12.75">
      <c r="A26" s="2">
        <v>24</v>
      </c>
      <c r="B26" s="7">
        <v>326</v>
      </c>
      <c r="C26" s="2" t="s">
        <v>0</v>
      </c>
      <c r="D26" s="29"/>
      <c r="E26" s="29"/>
      <c r="F26" s="29"/>
      <c r="G26" s="29">
        <f>0+1764</f>
        <v>1764</v>
      </c>
      <c r="H26" s="29"/>
      <c r="I26" s="29"/>
      <c r="J26" s="29">
        <v>2629</v>
      </c>
      <c r="K26" s="29"/>
    </row>
    <row r="27" spans="1:11" ht="12.75">
      <c r="A27" s="2">
        <v>25</v>
      </c>
      <c r="B27" s="7">
        <v>327</v>
      </c>
      <c r="C27" s="2" t="s">
        <v>6</v>
      </c>
      <c r="D27" s="29"/>
      <c r="E27" s="29"/>
      <c r="F27" s="29"/>
      <c r="G27" s="29">
        <f>37+950</f>
        <v>987</v>
      </c>
      <c r="H27" s="29"/>
      <c r="I27" s="29"/>
      <c r="J27" s="29">
        <f>25+1328</f>
        <v>1353</v>
      </c>
      <c r="K27" s="29"/>
    </row>
    <row r="28" spans="1:11" ht="12.75">
      <c r="A28" s="2">
        <v>26</v>
      </c>
      <c r="B28" s="7">
        <v>335</v>
      </c>
      <c r="C28" s="2" t="s">
        <v>5</v>
      </c>
      <c r="D28" s="29"/>
      <c r="E28" s="29"/>
      <c r="F28" s="29"/>
      <c r="G28" s="29">
        <f>1699+84+3226</f>
        <v>5009</v>
      </c>
      <c r="H28" s="29"/>
      <c r="I28" s="29"/>
      <c r="J28" s="29">
        <f>2055+3601</f>
        <v>5656</v>
      </c>
      <c r="K28" s="29"/>
    </row>
    <row r="29" spans="1:11" ht="12.75">
      <c r="A29" s="2">
        <v>27</v>
      </c>
      <c r="B29" s="7">
        <v>336</v>
      </c>
      <c r="C29" s="2" t="s">
        <v>37</v>
      </c>
      <c r="D29" s="29"/>
      <c r="E29" s="29"/>
      <c r="F29" s="29"/>
      <c r="G29" s="29">
        <f>2571+56+659</f>
        <v>3286</v>
      </c>
      <c r="H29" s="29"/>
      <c r="I29" s="29"/>
      <c r="J29" s="29">
        <f>2593+602</f>
        <v>3195</v>
      </c>
      <c r="K29" s="29"/>
    </row>
    <row r="30" spans="1:11" ht="12.75">
      <c r="A30" s="2">
        <v>28</v>
      </c>
      <c r="B30" s="7">
        <v>337</v>
      </c>
      <c r="C30" s="2" t="s">
        <v>7</v>
      </c>
      <c r="D30" s="29"/>
      <c r="E30" s="29"/>
      <c r="F30" s="29"/>
      <c r="G30" s="29">
        <f>411+71+2490</f>
        <v>2972</v>
      </c>
      <c r="H30" s="29"/>
      <c r="I30" s="29"/>
      <c r="J30" s="29">
        <f>474+3096</f>
        <v>3570</v>
      </c>
      <c r="K30" s="29"/>
    </row>
    <row r="31" spans="1:11" ht="12.75">
      <c r="A31" s="2">
        <v>29</v>
      </c>
      <c r="B31" s="7">
        <v>415</v>
      </c>
      <c r="C31" s="2" t="s">
        <v>11</v>
      </c>
      <c r="D31" s="29"/>
      <c r="E31" s="29"/>
      <c r="F31" s="29"/>
      <c r="G31" s="29">
        <f>0+2531</f>
        <v>2531</v>
      </c>
      <c r="H31" s="29"/>
      <c r="I31" s="29"/>
      <c r="J31" s="29">
        <f>86+3259</f>
        <v>3345</v>
      </c>
      <c r="K31" s="29"/>
    </row>
    <row r="32" spans="1:11" ht="12.75">
      <c r="A32" s="2">
        <v>30</v>
      </c>
      <c r="B32" s="7">
        <v>416</v>
      </c>
      <c r="C32" s="2" t="s">
        <v>13</v>
      </c>
      <c r="D32" s="29"/>
      <c r="E32" s="29"/>
      <c r="F32" s="29"/>
      <c r="G32" s="29">
        <f>231+65+913</f>
        <v>1209</v>
      </c>
      <c r="H32" s="29"/>
      <c r="I32" s="29"/>
      <c r="J32" s="29">
        <f>460+1240</f>
        <v>1700</v>
      </c>
      <c r="K32" s="29"/>
    </row>
    <row r="33" spans="1:11" ht="12.75">
      <c r="A33" s="2">
        <v>31</v>
      </c>
      <c r="B33" s="7">
        <v>417</v>
      </c>
      <c r="C33" s="2" t="s">
        <v>8</v>
      </c>
      <c r="D33" s="29"/>
      <c r="E33" s="29"/>
      <c r="F33" s="29"/>
      <c r="G33" s="29">
        <f>66+905</f>
        <v>971</v>
      </c>
      <c r="H33" s="29"/>
      <c r="I33" s="29"/>
      <c r="J33" s="29">
        <f>37+1056</f>
        <v>1093</v>
      </c>
      <c r="K33" s="29"/>
    </row>
    <row r="34" spans="1:11" ht="12.75">
      <c r="A34" s="2">
        <v>32</v>
      </c>
      <c r="B34" s="7">
        <v>425</v>
      </c>
      <c r="C34" s="2" t="s">
        <v>15</v>
      </c>
      <c r="D34" s="29"/>
      <c r="E34" s="29"/>
      <c r="F34" s="29"/>
      <c r="G34" s="29">
        <f>482+686+556+6525</f>
        <v>8249</v>
      </c>
      <c r="H34" s="29"/>
      <c r="I34" s="29"/>
      <c r="J34" s="29">
        <f>132+1464+705+8665</f>
        <v>10966</v>
      </c>
      <c r="K34" s="29"/>
    </row>
    <row r="35" spans="1:11" ht="12.75">
      <c r="A35" s="2">
        <v>33</v>
      </c>
      <c r="B35" s="7">
        <v>426</v>
      </c>
      <c r="C35" s="2" t="s">
        <v>9</v>
      </c>
      <c r="D35" s="29"/>
      <c r="E35" s="29"/>
      <c r="F35" s="29"/>
      <c r="G35" s="29">
        <f>501+580+11825</f>
        <v>12906</v>
      </c>
      <c r="H35" s="29"/>
      <c r="I35" s="29"/>
      <c r="J35" s="29">
        <f>1588+13820</f>
        <v>15408</v>
      </c>
      <c r="K35" s="29"/>
    </row>
    <row r="36" spans="1:11" ht="12.75">
      <c r="A36" s="2">
        <v>34</v>
      </c>
      <c r="B36" s="7">
        <v>435</v>
      </c>
      <c r="C36" s="2" t="s">
        <v>10</v>
      </c>
      <c r="D36" s="29"/>
      <c r="E36" s="29"/>
      <c r="F36" s="29"/>
      <c r="G36" s="29">
        <f>2047+96+2187</f>
        <v>4330</v>
      </c>
      <c r="H36" s="29"/>
      <c r="I36" s="29"/>
      <c r="J36" s="29">
        <f>2278+2192</f>
        <v>4470</v>
      </c>
      <c r="K36" s="29"/>
    </row>
    <row r="37" spans="1:11" ht="12.75">
      <c r="A37" s="2">
        <v>35</v>
      </c>
      <c r="B37" s="7">
        <v>436</v>
      </c>
      <c r="C37" s="2" t="s">
        <v>12</v>
      </c>
      <c r="D37" s="29"/>
      <c r="E37" s="29"/>
      <c r="F37" s="29"/>
      <c r="G37" s="29">
        <f>767+147+8563</f>
        <v>9477</v>
      </c>
      <c r="H37" s="29"/>
      <c r="I37" s="29"/>
      <c r="J37" s="29">
        <f>1022+9741</f>
        <v>10763</v>
      </c>
      <c r="K37" s="29"/>
    </row>
    <row r="38" spans="1:11" ht="12.75">
      <c r="A38" s="2">
        <v>36</v>
      </c>
      <c r="B38" s="7">
        <v>437</v>
      </c>
      <c r="C38" s="2" t="s">
        <v>14</v>
      </c>
      <c r="D38" s="29"/>
      <c r="E38" s="29"/>
      <c r="F38" s="29"/>
      <c r="G38" s="29">
        <f>271+297+4757</f>
        <v>5325</v>
      </c>
      <c r="H38" s="29"/>
      <c r="I38" s="29"/>
      <c r="J38" s="29">
        <f>751+6469</f>
        <v>7220</v>
      </c>
      <c r="K38" s="29"/>
    </row>
    <row r="39" spans="1:13" ht="12.75">
      <c r="A39" s="2">
        <v>37</v>
      </c>
      <c r="B39" s="7">
        <v>199</v>
      </c>
      <c r="C39" s="3" t="s">
        <v>50</v>
      </c>
      <c r="D39" s="29">
        <f aca="true" t="shared" si="0" ref="D39:J39">SUM(D3:D14)</f>
        <v>0</v>
      </c>
      <c r="E39" s="29">
        <f t="shared" si="0"/>
        <v>0</v>
      </c>
      <c r="F39" s="29">
        <f t="shared" si="0"/>
        <v>0</v>
      </c>
      <c r="G39" s="29">
        <f t="shared" si="0"/>
        <v>37073</v>
      </c>
      <c r="H39" s="29">
        <f t="shared" si="0"/>
        <v>0</v>
      </c>
      <c r="I39" s="29">
        <f t="shared" si="0"/>
        <v>0</v>
      </c>
      <c r="J39" s="29">
        <f t="shared" si="0"/>
        <v>46552</v>
      </c>
      <c r="K39" s="29">
        <f>SUM(K3:K14)</f>
        <v>0</v>
      </c>
      <c r="L39" s="29">
        <f>SUM(L3:L14)</f>
        <v>0</v>
      </c>
      <c r="M39" s="29">
        <f>SUM(M3:M14)</f>
        <v>0</v>
      </c>
    </row>
    <row r="40" spans="1:13" ht="12.75">
      <c r="A40" s="2">
        <v>38</v>
      </c>
      <c r="B40" s="7">
        <v>299</v>
      </c>
      <c r="C40" s="3" t="s">
        <v>51</v>
      </c>
      <c r="D40" s="29">
        <f aca="true" t="shared" si="1" ref="D40:J40">SUM(D15:D21)</f>
        <v>0</v>
      </c>
      <c r="E40" s="29">
        <f t="shared" si="1"/>
        <v>0</v>
      </c>
      <c r="F40" s="29">
        <f t="shared" si="1"/>
        <v>0</v>
      </c>
      <c r="G40" s="29">
        <f t="shared" si="1"/>
        <v>22939</v>
      </c>
      <c r="H40" s="29">
        <f t="shared" si="1"/>
        <v>0</v>
      </c>
      <c r="I40" s="29">
        <f t="shared" si="1"/>
        <v>0</v>
      </c>
      <c r="J40" s="29">
        <f t="shared" si="1"/>
        <v>27120</v>
      </c>
      <c r="K40" s="29">
        <f>SUM(K15:K21)</f>
        <v>0</v>
      </c>
      <c r="L40" s="29">
        <f>SUM(L15:L21)</f>
        <v>0</v>
      </c>
      <c r="M40" s="29">
        <f>SUM(M15:M21)</f>
        <v>0</v>
      </c>
    </row>
    <row r="41" spans="1:13" ht="12.75">
      <c r="A41" s="2">
        <v>39</v>
      </c>
      <c r="B41" s="7">
        <v>399</v>
      </c>
      <c r="C41" s="3" t="s">
        <v>52</v>
      </c>
      <c r="D41" s="29">
        <f aca="true" t="shared" si="2" ref="D41:J41">SUM(D22:D30)</f>
        <v>0</v>
      </c>
      <c r="E41" s="29">
        <f t="shared" si="2"/>
        <v>0</v>
      </c>
      <c r="F41" s="29">
        <f t="shared" si="2"/>
        <v>0</v>
      </c>
      <c r="G41" s="29">
        <f t="shared" si="2"/>
        <v>46604</v>
      </c>
      <c r="H41" s="29">
        <f t="shared" si="2"/>
        <v>0</v>
      </c>
      <c r="I41" s="29">
        <f t="shared" si="2"/>
        <v>0</v>
      </c>
      <c r="J41" s="29">
        <f t="shared" si="2"/>
        <v>50521</v>
      </c>
      <c r="K41" s="29">
        <f>SUM(K22:K30)</f>
        <v>0</v>
      </c>
      <c r="L41" s="29">
        <f>SUM(L22:L30)</f>
        <v>0</v>
      </c>
      <c r="M41" s="29">
        <f>SUM(M22:M30)</f>
        <v>0</v>
      </c>
    </row>
    <row r="42" spans="1:13" ht="12.75">
      <c r="A42" s="2">
        <v>40</v>
      </c>
      <c r="B42" s="7">
        <v>499</v>
      </c>
      <c r="C42" s="3" t="s">
        <v>53</v>
      </c>
      <c r="D42" s="29">
        <f aca="true" t="shared" si="3" ref="D42:J42">SUM(D31:D38)</f>
        <v>0</v>
      </c>
      <c r="E42" s="29">
        <f t="shared" si="3"/>
        <v>0</v>
      </c>
      <c r="F42" s="29">
        <f t="shared" si="3"/>
        <v>0</v>
      </c>
      <c r="G42" s="29">
        <f t="shared" si="3"/>
        <v>44998</v>
      </c>
      <c r="H42" s="29">
        <f t="shared" si="3"/>
        <v>0</v>
      </c>
      <c r="I42" s="29">
        <f t="shared" si="3"/>
        <v>0</v>
      </c>
      <c r="J42" s="29">
        <f t="shared" si="3"/>
        <v>54965</v>
      </c>
      <c r="K42" s="29">
        <f>SUM(K31:K38)</f>
        <v>0</v>
      </c>
      <c r="L42" s="29">
        <f>SUM(L31:L38)</f>
        <v>0</v>
      </c>
      <c r="M42" s="29">
        <f>SUM(M31:M38)</f>
        <v>0</v>
      </c>
    </row>
    <row r="43" spans="1:13" ht="12.75">
      <c r="A43" s="2">
        <v>41</v>
      </c>
      <c r="B43" s="7">
        <v>999</v>
      </c>
      <c r="C43" s="2" t="s">
        <v>34</v>
      </c>
      <c r="D43" s="10"/>
      <c r="E43" s="10"/>
      <c r="F43" s="10"/>
      <c r="G43" s="10">
        <f>59333+5540+89064</f>
        <v>153937</v>
      </c>
      <c r="H43" s="10"/>
      <c r="I43" s="10"/>
      <c r="J43" s="29">
        <f>71593+107652</f>
        <v>179245</v>
      </c>
      <c r="K43" s="29"/>
      <c r="L43" s="29"/>
      <c r="M43" s="29"/>
    </row>
    <row r="45" spans="2:11" ht="12.75">
      <c r="B45" s="11" t="s">
        <v>39</v>
      </c>
      <c r="C45" s="11"/>
      <c r="D45" s="11"/>
      <c r="E45" s="11"/>
      <c r="F45" s="11"/>
      <c r="G45" s="11">
        <v>39463</v>
      </c>
      <c r="H45" s="11"/>
      <c r="I45" s="11"/>
      <c r="J45" s="11">
        <v>40616</v>
      </c>
      <c r="K45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LEL Schwäbisch Gmünd, Abt.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Entwicklung der Biogasanlagen</dc:title>
  <dc:subject/>
  <dc:creator>Richard Müller</dc:creator>
  <cp:keywords/>
  <dc:description>03.05.2012</dc:description>
  <cp:lastModifiedBy>Müller, Richard (LEL)</cp:lastModifiedBy>
  <cp:lastPrinted>2018-05-29T09:20:20Z</cp:lastPrinted>
  <dcterms:created xsi:type="dcterms:W3CDTF">2010-07-02T07:46:19Z</dcterms:created>
  <dcterms:modified xsi:type="dcterms:W3CDTF">2018-05-29T09:20:39Z</dcterms:modified>
  <cp:category/>
  <cp:version/>
  <cp:contentType/>
  <cp:contentStatus/>
</cp:coreProperties>
</file>